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https://dmpresbytery-my.sharepoint.com/personal/jeannie_presbyteries_org/Documents/Desktop/North Central IA/2023/"/>
    </mc:Choice>
  </mc:AlternateContent>
  <xr:revisionPtr revIDLastSave="0" documentId="8_{E6BF89FC-1119-4A39-AA1F-E6AF03C37B7D}" xr6:coauthVersionLast="47" xr6:coauthVersionMax="47" xr10:uidLastSave="{00000000-0000-0000-0000-000000000000}"/>
  <bookViews>
    <workbookView xWindow="-120" yWindow="-120" windowWidth="29040" windowHeight="15840" firstSheet="2" activeTab="3" xr2:uid="{5F2A528A-1F56-42BD-9C8B-4EFE05CC4D0C}"/>
  </bookViews>
  <sheets>
    <sheet name="What's New" sheetId="8" r:id="rId1"/>
    <sheet name="Directions" sheetId="6" r:id="rId2"/>
    <sheet name="Church" sheetId="5" r:id="rId3"/>
    <sheet name="Terms of Call" sheetId="9" r:id="rId4"/>
    <sheet name="Report1" sheetId="12" r:id="rId5"/>
    <sheet name="Report2" sheetId="10" r:id="rId6"/>
    <sheet name="TOC Calculator" sheetId="4" r:id="rId7"/>
    <sheet name="Compensation Guidelines" sheetId="3" r:id="rId8"/>
    <sheet name="BOP Rates" sheetId="15" r:id="rId9"/>
  </sheets>
  <definedNames>
    <definedName name="_xlnm._FilterDatabase" localSheetId="3" hidden="1">'Terms of Call'!$A$1:$AB$182</definedName>
    <definedName name="AD_LIST">'Terms of Call'!$V$106:$X$110</definedName>
    <definedName name="ALLOWANCES">'Terms of Call'!$Q$137</definedName>
    <definedName name="APRV_REQ">'Terms of Call'!$C$159</definedName>
    <definedName name="ATT_BREAKS">'Compensation Guidelines'!$C$12:$C$19</definedName>
    <definedName name="BEN_GROUP">'Terms of Call'!$C$73</definedName>
    <definedName name="BEN_TABLE">'Terms of Call'!$V$76:$AA$85</definedName>
    <definedName name="BOP_DUES">'Terms of Call'!$Q$127</definedName>
    <definedName name="BOP_EFF_SAL">'Terms of Call'!$R$69</definedName>
    <definedName name="BOP_MIN_DUES">'Terms of Call'!$Q$126</definedName>
    <definedName name="BOP_PGM">'Terms of Call'!$C$79</definedName>
    <definedName name="BOP_PKG">'Terms of Call'!$V$66:$W$70</definedName>
    <definedName name="CE_ALLOW_MIN">'Compensation Guidelines'!$M$22</definedName>
    <definedName name="CE_MIN">'Compensation Guidelines'!$O$21</definedName>
    <definedName name="CHURCHES">Church!$B$5:$F$55</definedName>
    <definedName name="CLIST">'Terms of Call'!$I$18:$L$21</definedName>
    <definedName name="CLP_FACTOR">'Compensation Guidelines'!$M$19</definedName>
    <definedName name="COMP">'Compensation Guidelines'!$B$12:$H$35</definedName>
    <definedName name="COMP_LINE">'Terms of Call'!$Z$48</definedName>
    <definedName name="CplusH">'Terms of Call'!$Q$57</definedName>
    <definedName name="DD_TABLE">'Terms of Call'!$V$87:$AB$96</definedName>
    <definedName name="DENT_RATES">'BOP Rates'!$B$27:$E$30</definedName>
    <definedName name="DRAFT">'Compensation Guidelines'!$N$16</definedName>
    <definedName name="DRAFT2">'Compensation Guidelines'!$N$17</definedName>
    <definedName name="E_STATUS">'Terms of Call'!$C$14</definedName>
    <definedName name="E_Type">'Terms of Call'!$I$14</definedName>
    <definedName name="EFFECTIVE_SALARY">'Terms of Call'!$Q$69</definedName>
    <definedName name="EOY">'Compensation Guidelines'!$Q$14</definedName>
    <definedName name="FLEX_OPTS">'Terms of Call'!$Z$106:$AB$109</definedName>
    <definedName name="FSA_FEE">'BOP Rates'!$K$25</definedName>
    <definedName name="GTL_RATE">'BOP Rates'!$K$26</definedName>
    <definedName name="HR_PER_WK">'Terms of Call'!$C$35</definedName>
    <definedName name="I_STATUS">'Terms of Call'!$C$34</definedName>
    <definedName name="I_TYPE">'Terms of Call'!$I$34</definedName>
    <definedName name="LEV_FACTOR">'Compensation Guidelines'!$M$15</definedName>
    <definedName name="LEV1_MIN">'Compensation Guidelines'!$M$14</definedName>
    <definedName name="LEV4_MIN">'Compensation Guidelines'!$M$16</definedName>
    <definedName name="LEVEL">'Terms of Call'!$I$43</definedName>
    <definedName name="LOCAL_CHURCHES">'Terms of Call'!$AA$7:$AA$58</definedName>
    <definedName name="MANSE">'Terms of Call'!$C$53</definedName>
    <definedName name="MAX_FACTOR">'Compensation Guidelines'!$M$18</definedName>
    <definedName name="MD_OPTS">'Terms of Call'!#REF!</definedName>
    <definedName name="MED_PARAMS">'Compensation Guidelines'!#REF!</definedName>
    <definedName name="MED_RATES">'BOP Rates'!$B$19:$I$22</definedName>
    <definedName name="MIDR_FACTOR">'Compensation Guidelines'!$M$17</definedName>
    <definedName name="MIN_SALARY">'Terms of Call'!$Q$70</definedName>
    <definedName name="NCHURCHES">'Terms of Call'!$I$17</definedName>
    <definedName name="P_CLASS">'Terms of Call'!$C$41</definedName>
    <definedName name="P_STATUS">'Terms of Call'!$C$30</definedName>
    <definedName name="P_TYPE">'Terms of Call'!$I$30</definedName>
    <definedName name="PASTOR">'Terms of Call'!$I$8</definedName>
    <definedName name="PCT_FULL_TIME">'Terms of Call'!$N$35</definedName>
    <definedName name="PCT_YEAR">'Terms of Call'!$N$38</definedName>
    <definedName name="PE_MIN">'Compensation Guidelines'!$M$21</definedName>
    <definedName name="PP_PARAMS">'Compensation Guidelines'!#REF!</definedName>
    <definedName name="PP_RATES">'BOP Rates'!$C$6:$L$14</definedName>
    <definedName name="PP_TOT_RATE">'BOP Rates'!$E$14</definedName>
    <definedName name="PRES_ACRON">'Compensation Guidelines'!$O$11</definedName>
    <definedName name="PRESBYTERY">'Compensation Guidelines'!$L$12</definedName>
    <definedName name="_xlnm.Print_Area" localSheetId="2">Church!$B$3:$F$57</definedName>
    <definedName name="_xlnm.Print_Area" localSheetId="7">'Compensation Guidelines'!$A$4:$I$35</definedName>
    <definedName name="_xlnm.Print_Area" localSheetId="3">'Terms of Call'!$D$2:$T$184</definedName>
    <definedName name="_xlnm.Print_Titles" localSheetId="2">Church!$3:$3</definedName>
    <definedName name="_xlnm.Print_Titles" localSheetId="5">Report2!$1:$13</definedName>
    <definedName name="_xlnm.Print_Titles" localSheetId="3">'Terms of Call'!$2:$6</definedName>
    <definedName name="PTYPE_TABLE">'Terms of Call'!$M$26:$Q$29</definedName>
    <definedName name="RSP_5">'Terms of Call'!$I$62</definedName>
    <definedName name="RSP_MATCH">'Terms of Call'!$Q$62</definedName>
    <definedName name="RSPFEE">'Terms of Call'!$AA$110</definedName>
    <definedName name="SECA_B_HI">'Terms of Call'!$W$57</definedName>
    <definedName name="SECA_B_LO">'Terms of Call'!$W$56</definedName>
    <definedName name="SECA_BASE">'Terms of Call'!$O$58</definedName>
    <definedName name="SECA_CONTR_RATE">'Terms of Call'!$C$60</definedName>
    <definedName name="SECA_ENTRY">'Terms of Call'!$I$60</definedName>
    <definedName name="SECA_RATE_HI">'Compensation Guidelines'!$O$28</definedName>
    <definedName name="SECA_RATE_LOW">'Compensation Guidelines'!$N$28</definedName>
    <definedName name="SECA_TAX_HI">'Terms of Call'!$W$60</definedName>
    <definedName name="SECA_TAX_LO">'Terms of Call'!$W$59</definedName>
    <definedName name="SECA_ZERO_HI">'Compensation Guidelines'!$O$29</definedName>
    <definedName name="SECA_ZERO_LOW">'Compensation Guidelines'!$N$29</definedName>
    <definedName name="SHORTNAME">Church!$B$5:$B$55</definedName>
    <definedName name="SOPY">'Compensation Guidelines'!$Q$12</definedName>
    <definedName name="SOY">'Compensation Guidelines'!$Q$13</definedName>
    <definedName name="TITLE">'Terms of Call'!$I$25</definedName>
    <definedName name="TOTATTEND" localSheetId="4">#REF!</definedName>
    <definedName name="TOTATTEND">#REF!</definedName>
    <definedName name="TOTHRS" localSheetId="4">#REF!</definedName>
    <definedName name="TOTHRS">#REF!</definedName>
    <definedName name="TVL_MIN">'Compensation Guidelines'!$M$20</definedName>
    <definedName name="VAC_MIN">'Compensation Guidelines'!$O$22</definedName>
    <definedName name="VERSION">'Compensation Guidelines'!$O$20</definedName>
    <definedName name="VIS_RATES">'BOP Rates'!$B$35:$D$38</definedName>
    <definedName name="YEAR">'Compensation Guidelines'!$M$13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 i="4" l="1"/>
  <c r="J22" i="4"/>
  <c r="D7" i="4"/>
  <c r="B56" i="5" l="1"/>
  <c r="B57" i="5"/>
  <c r="F56" i="5"/>
  <c r="F57" i="5"/>
  <c r="D14" i="15"/>
  <c r="F14" i="15"/>
  <c r="E14" i="15"/>
  <c r="D10" i="4" s="1"/>
  <c r="E10" i="4" s="1"/>
  <c r="Z99" i="9"/>
  <c r="Z100" i="9"/>
  <c r="M23" i="3"/>
  <c r="F15" i="3"/>
  <c r="G15" i="3" s="1"/>
  <c r="G26" i="3" s="1"/>
  <c r="F26" i="3"/>
  <c r="H15" i="3"/>
  <c r="H26" i="3" s="1"/>
  <c r="F16" i="3"/>
  <c r="G16" i="3" s="1"/>
  <c r="G27" i="3" s="1"/>
  <c r="F12" i="3"/>
  <c r="H12" i="3" s="1"/>
  <c r="H23" i="3" s="1"/>
  <c r="AA103" i="9"/>
  <c r="X103" i="9"/>
  <c r="W103" i="9"/>
  <c r="AA102" i="9"/>
  <c r="AA101" i="9"/>
  <c r="AA100" i="9"/>
  <c r="AA99" i="9"/>
  <c r="AA98" i="9"/>
  <c r="Z101" i="9"/>
  <c r="X98" i="9"/>
  <c r="X102" i="9"/>
  <c r="X101" i="9"/>
  <c r="X100" i="9"/>
  <c r="X99" i="9"/>
  <c r="W102" i="9"/>
  <c r="W101" i="9"/>
  <c r="W100" i="9"/>
  <c r="W99" i="9"/>
  <c r="F27" i="3" l="1"/>
  <c r="F17" i="3"/>
  <c r="F28" i="3" s="1"/>
  <c r="F23" i="3"/>
  <c r="G17" i="3"/>
  <c r="G28" i="3" s="1"/>
  <c r="F13" i="3"/>
  <c r="G12" i="3"/>
  <c r="G23" i="3" s="1"/>
  <c r="H16" i="3"/>
  <c r="H27" i="3" s="1"/>
  <c r="F18" i="3"/>
  <c r="G18" i="3" s="1"/>
  <c r="H17" i="3" l="1"/>
  <c r="H28" i="3" s="1"/>
  <c r="F24" i="3"/>
  <c r="G13" i="3"/>
  <c r="H13" i="3"/>
  <c r="H24" i="3" s="1"/>
  <c r="H32" i="3" s="1"/>
  <c r="F14" i="3"/>
  <c r="F29" i="3"/>
  <c r="H18" i="3"/>
  <c r="H29" i="3" s="1"/>
  <c r="G29" i="3"/>
  <c r="F19" i="3"/>
  <c r="G19" i="3" s="1"/>
  <c r="W98" i="9"/>
  <c r="G14" i="3" l="1"/>
  <c r="G25" i="3" s="1"/>
  <c r="H14" i="3"/>
  <c r="H25" i="3" s="1"/>
  <c r="F25" i="3"/>
  <c r="F30" i="3"/>
  <c r="H19" i="3"/>
  <c r="H30" i="3" s="1"/>
  <c r="G30" i="3"/>
  <c r="F35" i="9"/>
  <c r="Q47" i="9"/>
  <c r="E38" i="10"/>
  <c r="Q54" i="9" l="1"/>
  <c r="Q55" i="9"/>
  <c r="Q56" i="9"/>
  <c r="Q63" i="9"/>
  <c r="Q64" i="9"/>
  <c r="G168" i="9"/>
  <c r="AA20" i="9"/>
  <c r="E35" i="12" l="1"/>
  <c r="A96" i="9" l="1"/>
  <c r="B96" i="9" s="1"/>
  <c r="A95" i="9"/>
  <c r="B95" i="9" s="1"/>
  <c r="A94" i="9"/>
  <c r="B94" i="9" s="1"/>
  <c r="A93" i="9"/>
  <c r="B93" i="9" s="1"/>
  <c r="K93" i="9" s="1"/>
  <c r="A101" i="9"/>
  <c r="A104" i="9"/>
  <c r="B104" i="9" s="1"/>
  <c r="A103" i="9"/>
  <c r="B103" i="9" s="1"/>
  <c r="A102" i="9"/>
  <c r="B102" i="9" s="1"/>
  <c r="B101" i="9"/>
  <c r="A107" i="9"/>
  <c r="B107" i="9" s="1"/>
  <c r="A110" i="9"/>
  <c r="B110" i="9" s="1"/>
  <c r="A109" i="9"/>
  <c r="B109" i="9" s="1"/>
  <c r="A108" i="9"/>
  <c r="B108" i="9" s="1"/>
  <c r="C100" i="9"/>
  <c r="O104" i="9" l="1"/>
  <c r="O102" i="9"/>
  <c r="O101" i="9"/>
  <c r="O103" i="9"/>
  <c r="K100" i="9"/>
  <c r="O105" i="9" l="1"/>
  <c r="O110" i="9"/>
  <c r="O109" i="9"/>
  <c r="O108" i="9"/>
  <c r="O107" i="9"/>
  <c r="E1" i="15"/>
  <c r="K3" i="10"/>
  <c r="K3" i="12"/>
  <c r="J5" i="9"/>
  <c r="J1" i="15"/>
  <c r="L1" i="15"/>
  <c r="O111" i="9" l="1"/>
  <c r="C34" i="9" l="1"/>
  <c r="Q62" i="9" l="1"/>
  <c r="C53" i="9"/>
  <c r="A56" i="9" l="1"/>
  <c r="C17" i="10"/>
  <c r="P147" i="9"/>
  <c r="A66" i="9"/>
  <c r="B17" i="10"/>
  <c r="L142" i="9"/>
  <c r="A148" i="9"/>
  <c r="K142" i="9"/>
  <c r="M142" i="9"/>
  <c r="Q147" i="9"/>
  <c r="B14" i="12"/>
  <c r="M54" i="9"/>
  <c r="A55" i="9"/>
  <c r="G54" i="9"/>
  <c r="D158" i="9" l="1"/>
  <c r="S111" i="9" l="1"/>
  <c r="R63" i="9" l="1"/>
  <c r="R64" i="9"/>
  <c r="R66" i="9"/>
  <c r="R67" i="9"/>
  <c r="R48" i="9"/>
  <c r="R55" i="9"/>
  <c r="R56" i="9"/>
  <c r="Q48" i="9"/>
  <c r="G16" i="10" s="1"/>
  <c r="I16" i="10" s="1"/>
  <c r="G14" i="12"/>
  <c r="G18" i="10"/>
  <c r="I18" i="10" s="1"/>
  <c r="G19" i="10"/>
  <c r="I19" i="10" s="1"/>
  <c r="C60" i="9"/>
  <c r="B14" i="9"/>
  <c r="C14" i="9"/>
  <c r="C159" i="9" s="1"/>
  <c r="H158" i="9" s="1"/>
  <c r="C30" i="9"/>
  <c r="C35" i="9"/>
  <c r="E13" i="10" s="1"/>
  <c r="E7" i="4"/>
  <c r="E6" i="4"/>
  <c r="E5" i="4"/>
  <c r="K4" i="4"/>
  <c r="K3" i="4" s="1"/>
  <c r="B2" i="4"/>
  <c r="N28" i="3"/>
  <c r="D8" i="4" s="1"/>
  <c r="O27" i="3"/>
  <c r="O28" i="3" s="1"/>
  <c r="I35" i="3"/>
  <c r="G21" i="4"/>
  <c r="Q14" i="3"/>
  <c r="C38" i="9" s="1"/>
  <c r="K38" i="9" s="1"/>
  <c r="F14" i="10" s="1"/>
  <c r="Q13" i="3"/>
  <c r="Q12" i="3"/>
  <c r="H8" i="3"/>
  <c r="A6" i="3"/>
  <c r="A5" i="3"/>
  <c r="F88" i="10"/>
  <c r="R176" i="9"/>
  <c r="K85" i="10" s="1"/>
  <c r="F82" i="10"/>
  <c r="F83" i="10" s="1"/>
  <c r="D82" i="10"/>
  <c r="C4" i="10"/>
  <c r="C81" i="10" s="1"/>
  <c r="A167" i="9"/>
  <c r="B167" i="9" s="1"/>
  <c r="A168" i="9"/>
  <c r="B168" i="9" s="1"/>
  <c r="A169" i="9"/>
  <c r="B169" i="9" s="1"/>
  <c r="C169" i="9"/>
  <c r="B166" i="9"/>
  <c r="D78" i="10"/>
  <c r="F77" i="10"/>
  <c r="D77" i="10"/>
  <c r="K10" i="10"/>
  <c r="K76" i="10" s="1"/>
  <c r="C10" i="10"/>
  <c r="C76" i="10" s="1"/>
  <c r="D74" i="10"/>
  <c r="F73" i="10"/>
  <c r="D73" i="10"/>
  <c r="K9" i="10"/>
  <c r="K72" i="10" s="1"/>
  <c r="C9" i="10"/>
  <c r="C72" i="10" s="1"/>
  <c r="D70" i="10"/>
  <c r="F69" i="10"/>
  <c r="D69" i="10"/>
  <c r="K8" i="10"/>
  <c r="K68" i="10" s="1"/>
  <c r="C8" i="10"/>
  <c r="C68" i="10" s="1"/>
  <c r="D66" i="10"/>
  <c r="F65" i="10"/>
  <c r="D65" i="10"/>
  <c r="K7" i="10"/>
  <c r="K64" i="10" s="1"/>
  <c r="C7" i="10"/>
  <c r="C64" i="10" s="1"/>
  <c r="G19" i="12"/>
  <c r="G23" i="10"/>
  <c r="I23" i="10" s="1"/>
  <c r="G21" i="12"/>
  <c r="I21" i="12" s="1"/>
  <c r="Q65" i="9"/>
  <c r="G22" i="12" s="1"/>
  <c r="Q66" i="9"/>
  <c r="G23" i="12" s="1"/>
  <c r="I23" i="12" s="1"/>
  <c r="Q67" i="9"/>
  <c r="G27" i="10" s="1"/>
  <c r="I27" i="10" s="1"/>
  <c r="C106" i="9"/>
  <c r="C121" i="9"/>
  <c r="Q121" i="9" s="1"/>
  <c r="G43" i="10" s="1"/>
  <c r="Q131" i="9"/>
  <c r="Q132" i="9"/>
  <c r="Q133" i="9"/>
  <c r="Q134" i="9"/>
  <c r="I154" i="9"/>
  <c r="K153" i="9" s="1"/>
  <c r="A62" i="10" s="1"/>
  <c r="G169" i="9"/>
  <c r="B62" i="10" s="1"/>
  <c r="P152" i="9"/>
  <c r="G61" i="10" s="1"/>
  <c r="B61" i="10"/>
  <c r="K151" i="9"/>
  <c r="A60" i="10" s="1"/>
  <c r="P151" i="9"/>
  <c r="G60" i="10" s="1"/>
  <c r="G167" i="9"/>
  <c r="B60" i="10" s="1"/>
  <c r="P150" i="9"/>
  <c r="G59" i="10" s="1"/>
  <c r="G166" i="9"/>
  <c r="B59" i="10" s="1"/>
  <c r="C37" i="9"/>
  <c r="K37" i="9" s="1"/>
  <c r="E54" i="10"/>
  <c r="E53" i="10"/>
  <c r="B50" i="10"/>
  <c r="G49" i="10"/>
  <c r="B49" i="10"/>
  <c r="G48" i="10"/>
  <c r="G47" i="10"/>
  <c r="G46" i="10"/>
  <c r="S97" i="9"/>
  <c r="K37" i="10" s="1"/>
  <c r="R18" i="9"/>
  <c r="R19" i="9"/>
  <c r="R20" i="9"/>
  <c r="R21" i="9"/>
  <c r="D20" i="10"/>
  <c r="C20" i="10"/>
  <c r="G15" i="10"/>
  <c r="D13" i="10"/>
  <c r="C12" i="10"/>
  <c r="C11" i="10"/>
  <c r="C6" i="10"/>
  <c r="C5" i="10"/>
  <c r="B8" i="9"/>
  <c r="B17" i="9"/>
  <c r="A18" i="9"/>
  <c r="B18" i="9" s="1"/>
  <c r="H18" i="9" s="1"/>
  <c r="A19" i="9"/>
  <c r="B19" i="9" s="1"/>
  <c r="H19" i="9" s="1"/>
  <c r="A20" i="9"/>
  <c r="B20" i="9" s="1"/>
  <c r="H20" i="9" s="1"/>
  <c r="A21" i="9"/>
  <c r="B21" i="9" s="1"/>
  <c r="H21" i="9" s="1"/>
  <c r="B25" i="9"/>
  <c r="B30" i="9"/>
  <c r="B48" i="9"/>
  <c r="B60" i="9"/>
  <c r="B66" i="9"/>
  <c r="L66" i="9" s="1"/>
  <c r="B100" i="9"/>
  <c r="B106" i="9"/>
  <c r="B121" i="9"/>
  <c r="B131" i="9"/>
  <c r="B132" i="9"/>
  <c r="B133" i="9"/>
  <c r="A135" i="9"/>
  <c r="B135" i="9" s="1"/>
  <c r="O135" i="9" s="1"/>
  <c r="A136" i="9"/>
  <c r="B136" i="9" s="1"/>
  <c r="O136" i="9" s="1"/>
  <c r="B139" i="9"/>
  <c r="B140" i="9"/>
  <c r="A150" i="9"/>
  <c r="B150" i="9" s="1"/>
  <c r="L150" i="9" s="1"/>
  <c r="A151" i="9"/>
  <c r="B151" i="9" s="1"/>
  <c r="L151" i="9" s="1"/>
  <c r="A152" i="9"/>
  <c r="B152" i="9" s="1"/>
  <c r="L152" i="9" s="1"/>
  <c r="A153" i="9"/>
  <c r="B153" i="9" s="1"/>
  <c r="L153" i="9" s="1"/>
  <c r="B176" i="9"/>
  <c r="K2" i="10"/>
  <c r="F2" i="10"/>
  <c r="K1" i="10"/>
  <c r="F1" i="10"/>
  <c r="A1" i="10"/>
  <c r="C86" i="10" s="1"/>
  <c r="F67" i="12"/>
  <c r="F61" i="12"/>
  <c r="F62" i="12" s="1"/>
  <c r="D61" i="12"/>
  <c r="C4" i="12"/>
  <c r="C60" i="12" s="1"/>
  <c r="D57" i="12"/>
  <c r="F56" i="12"/>
  <c r="D56" i="12"/>
  <c r="K6" i="12"/>
  <c r="K55" i="12" s="1"/>
  <c r="C6" i="12"/>
  <c r="C55" i="12" s="1"/>
  <c r="E51" i="12"/>
  <c r="E50" i="12"/>
  <c r="B47" i="12"/>
  <c r="G46" i="12"/>
  <c r="B46" i="12"/>
  <c r="G45" i="12"/>
  <c r="G44" i="12"/>
  <c r="G43" i="12"/>
  <c r="D17" i="12"/>
  <c r="C17" i="12"/>
  <c r="G12" i="12"/>
  <c r="K9" i="12"/>
  <c r="D9" i="12"/>
  <c r="C8" i="12"/>
  <c r="C7" i="12"/>
  <c r="C5" i="12"/>
  <c r="K2" i="12"/>
  <c r="F2" i="12"/>
  <c r="K1" i="12"/>
  <c r="F1" i="12"/>
  <c r="A1" i="12"/>
  <c r="C65" i="12" s="1"/>
  <c r="H181" i="9"/>
  <c r="C176" i="9"/>
  <c r="C168" i="9"/>
  <c r="C167" i="9"/>
  <c r="C166" i="9"/>
  <c r="F157" i="9"/>
  <c r="G153" i="9"/>
  <c r="G152" i="9"/>
  <c r="G151" i="9"/>
  <c r="G150" i="9"/>
  <c r="P141" i="9"/>
  <c r="Q110" i="9"/>
  <c r="S119" i="9"/>
  <c r="Q107" i="9"/>
  <c r="K106" i="9"/>
  <c r="S105" i="9"/>
  <c r="D72" i="9"/>
  <c r="G59" i="9"/>
  <c r="AA58" i="9"/>
  <c r="AA57" i="9"/>
  <c r="AA56" i="9"/>
  <c r="AA55" i="9"/>
  <c r="AA54" i="9"/>
  <c r="AA53" i="9"/>
  <c r="AA52" i="9"/>
  <c r="AA51" i="9"/>
  <c r="AA50" i="9"/>
  <c r="AA49" i="9"/>
  <c r="AA48" i="9"/>
  <c r="AA47" i="9"/>
  <c r="AA46" i="9"/>
  <c r="AA45" i="9"/>
  <c r="AA44" i="9"/>
  <c r="AA43" i="9"/>
  <c r="AA42" i="9"/>
  <c r="AA41" i="9"/>
  <c r="AA40" i="9"/>
  <c r="AA39" i="9"/>
  <c r="AA38" i="9"/>
  <c r="AA37" i="9"/>
  <c r="AA36" i="9"/>
  <c r="F36" i="9"/>
  <c r="AA35" i="9"/>
  <c r="AA34" i="9"/>
  <c r="AA33" i="9"/>
  <c r="AA32" i="9"/>
  <c r="AA31" i="9"/>
  <c r="AA30" i="9"/>
  <c r="AA29" i="9"/>
  <c r="AA28" i="9"/>
  <c r="AA27" i="9"/>
  <c r="AA26" i="9"/>
  <c r="AA25" i="9"/>
  <c r="AA24" i="9"/>
  <c r="AA23" i="9"/>
  <c r="AA22" i="9"/>
  <c r="AA21" i="9"/>
  <c r="S21" i="9"/>
  <c r="N21" i="9"/>
  <c r="S20" i="9"/>
  <c r="N20" i="9"/>
  <c r="AA19" i="9"/>
  <c r="S19" i="9"/>
  <c r="N19" i="9"/>
  <c r="AA18" i="9"/>
  <c r="S18" i="9"/>
  <c r="N18" i="9"/>
  <c r="AA17" i="9"/>
  <c r="K17" i="9"/>
  <c r="N4" i="9" s="1"/>
  <c r="AA16" i="9"/>
  <c r="AA15" i="9"/>
  <c r="AA14" i="9"/>
  <c r="AA13" i="9"/>
  <c r="AA12" i="9"/>
  <c r="AA11" i="9"/>
  <c r="AA10" i="9"/>
  <c r="AA9" i="9"/>
  <c r="AA8" i="9"/>
  <c r="AA7" i="9"/>
  <c r="S6" i="9"/>
  <c r="Q6" i="9"/>
  <c r="AA5" i="9"/>
  <c r="N5" i="9"/>
  <c r="S4" i="9"/>
  <c r="J4" i="9"/>
  <c r="N3" i="9"/>
  <c r="J3" i="9"/>
  <c r="C56" i="5"/>
  <c r="E51" i="5"/>
  <c r="E4" i="5"/>
  <c r="B3" i="5"/>
  <c r="B108" i="6"/>
  <c r="F4" i="6"/>
  <c r="F3" i="6"/>
  <c r="C114" i="8"/>
  <c r="D15" i="8"/>
  <c r="D14" i="8"/>
  <c r="F4" i="8"/>
  <c r="F3" i="8"/>
  <c r="C2" i="8"/>
  <c r="C41" i="9" l="1"/>
  <c r="K121" i="9"/>
  <c r="E43" i="10" s="1"/>
  <c r="K110" i="9"/>
  <c r="K109" i="9"/>
  <c r="G25" i="10"/>
  <c r="K64" i="12"/>
  <c r="I36" i="12"/>
  <c r="I39" i="10"/>
  <c r="E36" i="12"/>
  <c r="E39" i="10"/>
  <c r="R166" i="9"/>
  <c r="K101" i="9"/>
  <c r="K104" i="9"/>
  <c r="K102" i="9"/>
  <c r="K103" i="9"/>
  <c r="K108" i="9"/>
  <c r="Q104" i="9"/>
  <c r="P104" i="9" s="1"/>
  <c r="Q102" i="9"/>
  <c r="P102" i="9" s="1"/>
  <c r="Q101" i="9"/>
  <c r="P101" i="9" s="1"/>
  <c r="A54" i="9"/>
  <c r="B54" i="9" s="1"/>
  <c r="A53" i="9"/>
  <c r="B53" i="9" s="1"/>
  <c r="K53" i="9" s="1"/>
  <c r="A34" i="9"/>
  <c r="B34" i="9" s="1"/>
  <c r="D9" i="4"/>
  <c r="F10" i="4" s="1"/>
  <c r="K10" i="4" s="1"/>
  <c r="L10" i="4" s="1"/>
  <c r="E8" i="4"/>
  <c r="F12" i="4"/>
  <c r="G15" i="12"/>
  <c r="I15" i="12" s="1"/>
  <c r="N35" i="9"/>
  <c r="R68" i="9"/>
  <c r="G24" i="12"/>
  <c r="I24" i="12" s="1"/>
  <c r="G20" i="12"/>
  <c r="I20" i="12" s="1"/>
  <c r="G13" i="12"/>
  <c r="I13" i="12" s="1"/>
  <c r="F10" i="12"/>
  <c r="C14" i="12"/>
  <c r="K34" i="12"/>
  <c r="B148" i="9"/>
  <c r="M148" i="9" s="1"/>
  <c r="N37" i="9"/>
  <c r="O36" i="9" s="1"/>
  <c r="P122" i="9"/>
  <c r="E9" i="12"/>
  <c r="K51" i="12"/>
  <c r="G16" i="12"/>
  <c r="I16" i="12" s="1"/>
  <c r="C14" i="10"/>
  <c r="G26" i="10"/>
  <c r="I26" i="10" s="1"/>
  <c r="G24" i="10"/>
  <c r="I24" i="10" s="1"/>
  <c r="G22" i="10"/>
  <c r="Q103" i="9"/>
  <c r="Q109" i="9"/>
  <c r="P109" i="9" s="1"/>
  <c r="G40" i="12"/>
  <c r="R167" i="9"/>
  <c r="Q108" i="9"/>
  <c r="P107" i="9"/>
  <c r="P110" i="9"/>
  <c r="R22" i="9"/>
  <c r="I42" i="9" s="1"/>
  <c r="I43" i="9" s="1"/>
  <c r="Q68" i="9"/>
  <c r="B55" i="9"/>
  <c r="L55" i="9" s="1"/>
  <c r="B56" i="9"/>
  <c r="L56" i="9" s="1"/>
  <c r="K150" i="9"/>
  <c r="K152" i="9"/>
  <c r="A61" i="10" s="1"/>
  <c r="P153" i="9"/>
  <c r="Q137" i="9"/>
  <c r="Q57" i="9"/>
  <c r="G17" i="10"/>
  <c r="F9" i="4" l="1"/>
  <c r="K9" i="4" s="1"/>
  <c r="L9" i="4" s="1"/>
  <c r="E40" i="12"/>
  <c r="M140" i="9"/>
  <c r="M139" i="9"/>
  <c r="C73" i="9"/>
  <c r="C79" i="9" s="1"/>
  <c r="N85" i="9" s="1"/>
  <c r="P108" i="9"/>
  <c r="P111" i="9" s="1"/>
  <c r="Q111" i="9"/>
  <c r="K107" i="9"/>
  <c r="P103" i="9"/>
  <c r="P105" i="9" s="1"/>
  <c r="Q105" i="9"/>
  <c r="G35" i="12" s="1"/>
  <c r="I35" i="12" s="1"/>
  <c r="N34" i="9"/>
  <c r="O122" i="9"/>
  <c r="L34" i="9"/>
  <c r="R168" i="9"/>
  <c r="P41" i="9"/>
  <c r="I41" i="9"/>
  <c r="B41" i="9"/>
  <c r="E9" i="4"/>
  <c r="F21" i="3"/>
  <c r="D11" i="4"/>
  <c r="F7" i="4"/>
  <c r="K7" i="4" s="1"/>
  <c r="L7" i="4" s="1"/>
  <c r="F6" i="4"/>
  <c r="K6" i="4" s="1"/>
  <c r="L6" i="4" s="1"/>
  <c r="F5" i="4"/>
  <c r="K5" i="4" s="1"/>
  <c r="L5" i="4" s="1"/>
  <c r="F8" i="4"/>
  <c r="K8" i="4" s="1"/>
  <c r="L8" i="4" s="1"/>
  <c r="H21" i="3"/>
  <c r="G9" i="4"/>
  <c r="H9" i="4" s="1"/>
  <c r="N38" i="9"/>
  <c r="K143" i="9" s="1"/>
  <c r="E56" i="10" s="1"/>
  <c r="I44" i="9"/>
  <c r="H13" i="10"/>
  <c r="B37" i="9"/>
  <c r="B38" i="9" s="1"/>
  <c r="M132" i="9"/>
  <c r="H9" i="12"/>
  <c r="M133" i="9"/>
  <c r="C10" i="12"/>
  <c r="C179" i="9"/>
  <c r="F179" i="9" s="1"/>
  <c r="R169" i="9"/>
  <c r="W56" i="9"/>
  <c r="W57" i="9"/>
  <c r="G51" i="10"/>
  <c r="G48" i="12"/>
  <c r="Z41" i="9"/>
  <c r="Z43" i="9"/>
  <c r="G62" i="10"/>
  <c r="P154" i="9"/>
  <c r="A59" i="10"/>
  <c r="K154" i="9"/>
  <c r="N86" i="9" l="1"/>
  <c r="N83" i="9"/>
  <c r="N87" i="9"/>
  <c r="N88" i="9"/>
  <c r="O88" i="9" s="1"/>
  <c r="O87" i="9"/>
  <c r="N97" i="9"/>
  <c r="G21" i="3"/>
  <c r="G24" i="3"/>
  <c r="G32" i="3" s="1"/>
  <c r="Z48" i="9"/>
  <c r="B37" i="10"/>
  <c r="I34" i="12"/>
  <c r="C92" i="9"/>
  <c r="O94" i="9" s="1"/>
  <c r="B34" i="12"/>
  <c r="G36" i="12"/>
  <c r="G39" i="10"/>
  <c r="C170" i="9"/>
  <c r="R170" i="9" s="1"/>
  <c r="K59" i="12" s="1"/>
  <c r="A79" i="9"/>
  <c r="B73" i="9"/>
  <c r="J73" i="9"/>
  <c r="E53" i="12"/>
  <c r="H10" i="12"/>
  <c r="G38" i="10"/>
  <c r="H14" i="10"/>
  <c r="G8" i="4"/>
  <c r="H8" i="4" s="1"/>
  <c r="G11" i="4"/>
  <c r="H11" i="4" s="1"/>
  <c r="F11" i="4"/>
  <c r="K11" i="4" s="1"/>
  <c r="L11" i="4" s="1"/>
  <c r="L13" i="4" s="1"/>
  <c r="G6" i="4"/>
  <c r="H6" i="4" s="1"/>
  <c r="G10" i="4"/>
  <c r="H10" i="4" s="1"/>
  <c r="E11" i="4"/>
  <c r="G7" i="4"/>
  <c r="H7" i="4" s="1"/>
  <c r="G5" i="4"/>
  <c r="H5" i="4" s="1"/>
  <c r="F32" i="3"/>
  <c r="O58" i="9"/>
  <c r="W60" i="9" s="1"/>
  <c r="R43" i="9" l="1"/>
  <c r="R44" i="9" s="1"/>
  <c r="P43" i="9"/>
  <c r="Q43" i="9"/>
  <c r="P44" i="9"/>
  <c r="Q70" i="9" s="1"/>
  <c r="G26" i="12" s="1"/>
  <c r="O96" i="9"/>
  <c r="O93" i="9"/>
  <c r="O95" i="9"/>
  <c r="K80" i="10"/>
  <c r="E28" i="12"/>
  <c r="E31" i="10"/>
  <c r="G80" i="9"/>
  <c r="B79" i="9"/>
  <c r="K79" i="9" s="1"/>
  <c r="Q44" i="9"/>
  <c r="W59" i="9"/>
  <c r="O59" i="9" s="1"/>
  <c r="O60" i="9" s="1"/>
  <c r="G29" i="10" l="1"/>
  <c r="O97" i="9"/>
  <c r="M96" i="9"/>
  <c r="N96" i="9" s="1"/>
  <c r="M95" i="9"/>
  <c r="N95" i="9" s="1"/>
  <c r="M94" i="9"/>
  <c r="N94" i="9" s="1"/>
  <c r="M93" i="9"/>
  <c r="N93" i="9" s="1"/>
  <c r="Q93" i="9" s="1"/>
  <c r="D32" i="10"/>
  <c r="D29" i="12"/>
  <c r="A86" i="9"/>
  <c r="B86" i="9" s="1"/>
  <c r="C88" i="9"/>
  <c r="K88" i="9" s="1"/>
  <c r="C86" i="9"/>
  <c r="A92" i="9"/>
  <c r="A83" i="9"/>
  <c r="B83" i="9" s="1"/>
  <c r="A84" i="9"/>
  <c r="B84" i="9" s="1"/>
  <c r="C87" i="9"/>
  <c r="K87" i="9" s="1"/>
  <c r="C84" i="9"/>
  <c r="C83" i="9"/>
  <c r="R60" i="9"/>
  <c r="I17" i="12" s="1"/>
  <c r="Q60" i="9"/>
  <c r="N84" i="9" l="1"/>
  <c r="A120" i="9"/>
  <c r="B120" i="9" s="1"/>
  <c r="Q96" i="9"/>
  <c r="P96" i="9" s="1"/>
  <c r="P93" i="9"/>
  <c r="Q95" i="9"/>
  <c r="P95" i="9" s="1"/>
  <c r="Q94" i="9"/>
  <c r="P94" i="9" s="1"/>
  <c r="K92" i="9"/>
  <c r="E34" i="12" s="1"/>
  <c r="A85" i="9"/>
  <c r="B85" i="9" s="1"/>
  <c r="G17" i="12"/>
  <c r="G25" i="12" s="1"/>
  <c r="R54" i="9"/>
  <c r="K86" i="9"/>
  <c r="G20" i="10"/>
  <c r="G28" i="10" s="1"/>
  <c r="I20" i="10"/>
  <c r="B92" i="9"/>
  <c r="K83" i="9"/>
  <c r="C85" i="9"/>
  <c r="A124" i="9" s="1"/>
  <c r="B124" i="9" s="1"/>
  <c r="K124" i="9" s="1"/>
  <c r="K84" i="9"/>
  <c r="Q69" i="9"/>
  <c r="E37" i="10" l="1"/>
  <c r="L120" i="9"/>
  <c r="Q97" i="9"/>
  <c r="P97" i="9"/>
  <c r="B70" i="9"/>
  <c r="A125" i="9"/>
  <c r="I37" i="10"/>
  <c r="E33" i="12"/>
  <c r="E36" i="10"/>
  <c r="F29" i="10"/>
  <c r="R57" i="9"/>
  <c r="R69" i="9" s="1"/>
  <c r="M120" i="9" s="1"/>
  <c r="I17" i="10"/>
  <c r="I14" i="12"/>
  <c r="K85" i="9"/>
  <c r="K96" i="9"/>
  <c r="K94" i="9"/>
  <c r="K95" i="9"/>
  <c r="E38" i="12"/>
  <c r="E41" i="10"/>
  <c r="E31" i="12"/>
  <c r="E34" i="10"/>
  <c r="E33" i="10"/>
  <c r="E30" i="12"/>
  <c r="P70" i="9"/>
  <c r="F26" i="12"/>
  <c r="Q120" i="9" l="1"/>
  <c r="G37" i="12" s="1"/>
  <c r="E37" i="12"/>
  <c r="E40" i="10"/>
  <c r="D37" i="12"/>
  <c r="D40" i="10"/>
  <c r="E35" i="10"/>
  <c r="E32" i="12"/>
  <c r="B125" i="9"/>
  <c r="K125" i="9" s="1"/>
  <c r="S85" i="9"/>
  <c r="R85" i="9" s="1"/>
  <c r="O85" i="9" s="1"/>
  <c r="Q85" i="9" s="1"/>
  <c r="G32" i="12" s="1"/>
  <c r="I30" i="10"/>
  <c r="S83" i="9"/>
  <c r="R83" i="9" s="1"/>
  <c r="O83" i="9" s="1"/>
  <c r="S84" i="9"/>
  <c r="R84" i="9" s="1"/>
  <c r="I27" i="12"/>
  <c r="R73" i="9"/>
  <c r="S86" i="9"/>
  <c r="R86" i="9" s="1"/>
  <c r="S87" i="9"/>
  <c r="R87" i="9" s="1"/>
  <c r="Q87" i="9" s="1"/>
  <c r="S88" i="9"/>
  <c r="R88" i="9" s="1"/>
  <c r="Q88" i="9" s="1"/>
  <c r="P88" i="9" s="1"/>
  <c r="P127" i="9"/>
  <c r="P142" i="9" s="1"/>
  <c r="O86" i="9" l="1"/>
  <c r="Q86" i="9" s="1"/>
  <c r="G36" i="10" s="1"/>
  <c r="O84" i="9"/>
  <c r="Q84" i="9" s="1"/>
  <c r="G37" i="10"/>
  <c r="G40" i="10"/>
  <c r="E39" i="12"/>
  <c r="P86" i="9"/>
  <c r="E4" i="9"/>
  <c r="A2" i="10" s="1"/>
  <c r="E5" i="9"/>
  <c r="A3" i="10" s="1"/>
  <c r="P85" i="9"/>
  <c r="G35" i="10"/>
  <c r="I38" i="10" s="1"/>
  <c r="G34" i="12"/>
  <c r="P87" i="9"/>
  <c r="Q83" i="9"/>
  <c r="G30" i="12" s="1"/>
  <c r="G33" i="10"/>
  <c r="O89" i="9" l="1"/>
  <c r="O126" i="9" s="1"/>
  <c r="O127" i="9" s="1"/>
  <c r="P84" i="9"/>
  <c r="G34" i="10"/>
  <c r="G31" i="12"/>
  <c r="G33" i="12"/>
  <c r="E42" i="10"/>
  <c r="Q89" i="9"/>
  <c r="Q126" i="9" s="1"/>
  <c r="Q141" i="9" s="1"/>
  <c r="A2" i="12"/>
  <c r="A3" i="12"/>
  <c r="P83" i="9"/>
  <c r="P89" i="9" s="1"/>
  <c r="G44" i="10"/>
  <c r="G55" i="10" s="1"/>
  <c r="G41" i="12" l="1"/>
  <c r="G52" i="12" s="1"/>
  <c r="Q127" i="9"/>
  <c r="Q142" i="9" s="1"/>
  <c r="Q143" i="9" s="1"/>
  <c r="G53" i="12" s="1"/>
  <c r="G56" i="10" l="1"/>
  <c r="Q146" i="9"/>
  <c r="O152" i="9" s="1"/>
  <c r="E61" i="10" s="1"/>
  <c r="Q152" i="9" l="1"/>
  <c r="I61" i="10" s="1"/>
  <c r="O151" i="9"/>
  <c r="Q151" i="9" s="1"/>
  <c r="I60" i="10" s="1"/>
  <c r="O153" i="9"/>
  <c r="Q153" i="9" s="1"/>
  <c r="I62" i="10" s="1"/>
  <c r="Q148" i="9"/>
  <c r="O150" i="9"/>
  <c r="O154" i="9" l="1"/>
  <c r="E62" i="10"/>
  <c r="E60" i="10"/>
  <c r="E59" i="10"/>
  <c r="Q150" i="9"/>
  <c r="I59" i="10" l="1"/>
  <c r="Q154" i="9"/>
</calcChain>
</file>

<file path=xl/sharedStrings.xml><?xml version="1.0" encoding="utf-8"?>
<sst xmlns="http://schemas.openxmlformats.org/spreadsheetml/2006/main" count="1435" uniqueCount="868">
  <si>
    <t>Presbytery of North Central Iowa</t>
  </si>
  <si>
    <t>Cash Salary</t>
  </si>
  <si>
    <t>Utilities</t>
  </si>
  <si>
    <t>Furnishings</t>
  </si>
  <si>
    <t>Percent of Full Time</t>
  </si>
  <si>
    <t>BOP</t>
  </si>
  <si>
    <t>Includes SECA benefit</t>
  </si>
  <si>
    <t>–</t>
  </si>
  <si>
    <t>any</t>
  </si>
  <si>
    <t>Full-time Annual Amounts</t>
  </si>
  <si>
    <t xml:space="preserve"> </t>
  </si>
  <si>
    <t>Manse</t>
  </si>
  <si>
    <t>Level Factor</t>
  </si>
  <si>
    <r>
      <t>Values set by COM</t>
    </r>
    <r>
      <rPr>
        <sz val="10"/>
        <rFont val="Arial"/>
        <family val="2"/>
      </rPr>
      <t xml:space="preserve">
Others please do not change.</t>
    </r>
  </si>
  <si>
    <t>Position Title:</t>
  </si>
  <si>
    <t>Rate</t>
  </si>
  <si>
    <t>Pension</t>
  </si>
  <si>
    <t>Maximum</t>
  </si>
  <si>
    <t>Name of Presbytery:</t>
  </si>
  <si>
    <t>Draft Flag</t>
  </si>
  <si>
    <t>(enter below to flag,</t>
  </si>
  <si>
    <t>clear below to use)</t>
  </si>
  <si>
    <t>Pastor Compensation Guidelines</t>
  </si>
  <si>
    <t>Field</t>
  </si>
  <si>
    <t>TOC
Line</t>
  </si>
  <si>
    <t xml:space="preserve">Percent of </t>
  </si>
  <si>
    <t xml:space="preserve">Goal Amount: </t>
  </si>
  <si>
    <t>Effective Salary</t>
  </si>
  <si>
    <t>Personnel Cost</t>
  </si>
  <si>
    <t>Housing</t>
  </si>
  <si>
    <t>50 %SECA</t>
  </si>
  <si>
    <t>BOP Dues</t>
  </si>
  <si>
    <t>Calculated at BOP rate of 30% of Cash Salary</t>
  </si>
  <si>
    <t>SECA</t>
  </si>
  <si>
    <t>Recommended 50% Contribution</t>
  </si>
  <si>
    <t>Allowances</t>
  </si>
  <si>
    <t>Total Budget</t>
  </si>
  <si>
    <t xml:space="preserve"> For Field:</t>
  </si>
  <si>
    <t xml:space="preserve"> Calculator</t>
  </si>
  <si>
    <t xml:space="preserve">   BOP Dues</t>
  </si>
  <si>
    <t xml:space="preserve">   Housing</t>
  </si>
  <si>
    <t xml:space="preserve">   50 %SECA</t>
  </si>
  <si>
    <t xml:space="preserve">   Allowances</t>
  </si>
  <si>
    <t xml:space="preserve">Total cost to church budget, </t>
  </si>
  <si>
    <t xml:space="preserve"> Notes:</t>
  </si>
  <si>
    <t>Column Hide</t>
  </si>
  <si>
    <t>1000+</t>
  </si>
  <si>
    <t>Ames, IA</t>
  </si>
  <si>
    <t>Cedar Falls, IA</t>
  </si>
  <si>
    <t>Fort Dodge, IA</t>
  </si>
  <si>
    <t>Grundy Center, IA</t>
  </si>
  <si>
    <t>Marshalltown, IA</t>
  </si>
  <si>
    <t>Waterloo, IA</t>
  </si>
  <si>
    <t>Mason City, IA</t>
  </si>
  <si>
    <t xml:space="preserve"> Church Name</t>
  </si>
  <si>
    <t xml:space="preserve"> Location</t>
  </si>
  <si>
    <t>Level</t>
  </si>
  <si>
    <t>Average
Worship
Attendance</t>
  </si>
  <si>
    <t>Required
Minimum</t>
  </si>
  <si>
    <t>Suggested
Mid-range</t>
  </si>
  <si>
    <t>Suggested
Maximum</t>
  </si>
  <si>
    <t>Level 1 Mininum</t>
  </si>
  <si>
    <t>Mid-range Factor</t>
  </si>
  <si>
    <t>Maximum Factor</t>
  </si>
  <si>
    <t>Collegiate Presbyterian Church</t>
  </si>
  <si>
    <t>Northminster Presbyterian Church</t>
  </si>
  <si>
    <t>First Presbyterian Church</t>
  </si>
  <si>
    <t>Bethany Presbyterian Church</t>
  </si>
  <si>
    <t>Barclay Presbyterian Church</t>
  </si>
  <si>
    <t>East Friesland Presbyterian Church</t>
  </si>
  <si>
    <t>Albion, IA</t>
  </si>
  <si>
    <t>Algona, IA</t>
  </si>
  <si>
    <t>Boone, IA</t>
  </si>
  <si>
    <t>Burt, IA</t>
  </si>
  <si>
    <t>Burt Presbyterian Church</t>
  </si>
  <si>
    <t>Clarion, IA</t>
  </si>
  <si>
    <t>Conrad, IA</t>
  </si>
  <si>
    <t>Unity Presbyterian Church</t>
  </si>
  <si>
    <t>Goldfield, IA</t>
  </si>
  <si>
    <t>Grand Junction, IA</t>
  </si>
  <si>
    <t>Greene, IA</t>
  </si>
  <si>
    <t>United Presbyterian Church</t>
  </si>
  <si>
    <t>Irvington, IA</t>
  </si>
  <si>
    <t>Jefferson, IA</t>
  </si>
  <si>
    <t>Lakota, IA</t>
  </si>
  <si>
    <t>Lincoln, IA</t>
  </si>
  <si>
    <t>Lone Rock, IA</t>
  </si>
  <si>
    <t>Kamrar, IA</t>
  </si>
  <si>
    <t>Lone Rock Presbyterian Church</t>
  </si>
  <si>
    <t>Maxwell, IA</t>
  </si>
  <si>
    <t>McCallsburg, IA</t>
  </si>
  <si>
    <t>Nevada, IA</t>
  </si>
  <si>
    <t>Reinbeck, IA</t>
  </si>
  <si>
    <t>Rudd, IA</t>
  </si>
  <si>
    <t>State Center, IA</t>
  </si>
  <si>
    <t>Steamboat Rock, IA</t>
  </si>
  <si>
    <t>Toledo, IA</t>
  </si>
  <si>
    <t>Traer, IA</t>
  </si>
  <si>
    <t>Washburn, IA</t>
  </si>
  <si>
    <t>McCallsburg Presbyterian Church</t>
  </si>
  <si>
    <t>Central Presbyterian Church</t>
  </si>
  <si>
    <t>Amity Presbyterian Church</t>
  </si>
  <si>
    <t>Eden Presbyterian Church</t>
  </si>
  <si>
    <t>St. Paul's Presbyterian Church</t>
  </si>
  <si>
    <t>Cedar Heights Community Presbyterian Church</t>
  </si>
  <si>
    <t>Ackley, IA</t>
  </si>
  <si>
    <t xml:space="preserve"> *</t>
  </si>
  <si>
    <t>Garner, IA</t>
  </si>
  <si>
    <t>Hide Rows</t>
  </si>
  <si>
    <t>This sheet is for information only.  All entries are on other sheets.</t>
  </si>
  <si>
    <t>For Year</t>
  </si>
  <si>
    <t>DIRECTIONS</t>
  </si>
  <si>
    <t>Yellow</t>
  </si>
  <si>
    <t>Red</t>
  </si>
  <si>
    <t>White</t>
  </si>
  <si>
    <r>
      <t>Directions</t>
    </r>
    <r>
      <rPr>
        <sz val="10"/>
        <rFont val="Arial"/>
        <family val="2"/>
      </rPr>
      <t xml:space="preserve"> </t>
    </r>
  </si>
  <si>
    <t>Church</t>
  </si>
  <si>
    <t>TOC Calculator</t>
  </si>
  <si>
    <t>Compensation
Guidelines</t>
  </si>
  <si>
    <t>This sheet provides additional information for those who wish it.  It is also used by the Presbytery to set parameters for the year's guidelines.</t>
  </si>
  <si>
    <t>These are selected by the tabs at the bottom of the page:</t>
  </si>
  <si>
    <t>Questions, Comments?</t>
  </si>
  <si>
    <t>Your questions or suggestions for future improvement in this workbook are welcomed by its author:</t>
  </si>
  <si>
    <t>Collegiate Presbyterian Church, Ames, Iowa</t>
  </si>
  <si>
    <t>wcd@iastate.edu</t>
  </si>
  <si>
    <t>Wayne C. Dowling, Clerk of Session</t>
  </si>
  <si>
    <t>Jesup, IA</t>
  </si>
  <si>
    <t>Paton, IA</t>
  </si>
  <si>
    <t>Woden, IA</t>
  </si>
  <si>
    <t>Salem Church of Lincoln</t>
  </si>
  <si>
    <t>Acronym:</t>
  </si>
  <si>
    <t>NCIP</t>
  </si>
  <si>
    <t>Travel Min.</t>
  </si>
  <si>
    <t>Prof. Exp. Min.</t>
  </si>
  <si>
    <t>Cont. Educ. Min.</t>
  </si>
  <si>
    <t>Total Allow. Min.</t>
  </si>
  <si>
    <t>(clear above text</t>
  </si>
  <si>
    <t>to use workbook)</t>
  </si>
  <si>
    <t>SECA Tax</t>
  </si>
  <si>
    <t>SECA Values set by law</t>
  </si>
  <si>
    <t xml:space="preserve">Minimum of </t>
  </si>
  <si>
    <t>For Specialized Ministry</t>
  </si>
  <si>
    <t xml:space="preserve"> Schedule SE adjustment</t>
  </si>
  <si>
    <t xml:space="preserve"> Rate as % of total income</t>
  </si>
  <si>
    <t xml:space="preserve"> Adjusted % of total income</t>
  </si>
  <si>
    <t xml:space="preserve"> Intercept for zero total income</t>
  </si>
  <si>
    <t>Low Inc.</t>
  </si>
  <si>
    <t>Church Contribution</t>
  </si>
  <si>
    <t>High Inc.</t>
  </si>
  <si>
    <t>First Presbyterian Church of Irvington</t>
  </si>
  <si>
    <t>The Terms of Call Workbook is updated annually to reflect needed and desirable</t>
  </si>
  <si>
    <t>IRA 403(b)</t>
  </si>
  <si>
    <t>HRA</t>
  </si>
  <si>
    <t>Routine annual updates have been made, as in all years:</t>
  </si>
  <si>
    <t xml:space="preserve">are based on the average from two years prior.  For example, the compensation </t>
  </si>
  <si>
    <t xml:space="preserve">If you encounter any problems or have suggestions for improving future versions, </t>
  </si>
  <si>
    <t>your input will be greatly appreciated by its author:</t>
  </si>
  <si>
    <t xml:space="preserve">The Board of Pensions allows exclusion from it's dues basis of matching </t>
  </si>
  <si>
    <t>The IRA must be provided through the Board of Pensions, and the church</t>
  </si>
  <si>
    <t>contributions must be to match employee contributions.</t>
  </si>
  <si>
    <t>Contributions not meeting these requirements may be excludable for tax</t>
  </si>
  <si>
    <t>purposes, but are subject to Board of Pensions dues.</t>
  </si>
  <si>
    <t xml:space="preserve">The Presbytery of North Central Iowa considers contributions to an IRA </t>
  </si>
  <si>
    <t xml:space="preserve">to be a part of the Terms of Call Effective Salary.  </t>
  </si>
  <si>
    <t xml:space="preserve">Church contributions to Health Reimbursement Accounts allowed by the </t>
  </si>
  <si>
    <t xml:space="preserve">IRS are not subject to Board of Pensions dues.  </t>
  </si>
  <si>
    <t xml:space="preserve">The Presbytery of North Central Iowa considers HRA contributions to be </t>
  </si>
  <si>
    <t xml:space="preserve">a part of the Terms of Call Effective Salary.  </t>
  </si>
  <si>
    <t>What's New</t>
  </si>
  <si>
    <t>This is a tool to help find numbers to achieve a goal.  It use is not required for completion of the form.</t>
  </si>
  <si>
    <t xml:space="preserve">changes.  </t>
  </si>
  <si>
    <t>For Lead Pastor or Co-Pastor (Ordained Teaching Elder)</t>
  </si>
  <si>
    <t>For Associate Pastor (Ordained Teaching Elder)</t>
  </si>
  <si>
    <t>Changes made for 2012 are retained:</t>
  </si>
  <si>
    <t>Entry</t>
  </si>
  <si>
    <t xml:space="preserve">not included in the BOP or Presbytery effective salaries.  </t>
  </si>
  <si>
    <t>The share of the dues which the church asks the employee to cover come</t>
  </si>
  <si>
    <t>from the employee's cash salary, but are paid to the BOP through the church.</t>
  </si>
  <si>
    <t>The employee may request a payroll deduction for their share, in which case</t>
  </si>
  <si>
    <t>the dues will be taxable.  The church may establish a Section 125 Healthcare-</t>
  </si>
  <si>
    <t xml:space="preserve">Dues plan so that the employee's share will not be subject to Income or </t>
  </si>
  <si>
    <t xml:space="preserve">SECA taxes.  Either way, the funds for the employee's share of the dues </t>
  </si>
  <si>
    <t>is a part of their cash salary, and so is included in both BOP and NCIP</t>
  </si>
  <si>
    <t xml:space="preserve">effective salaries.  </t>
  </si>
  <si>
    <t>payroll deductions or to establish a Secion 125 plan.  Additional information</t>
  </si>
  <si>
    <t>http://www.pensions.org/</t>
  </si>
  <si>
    <t>is available on the Board Of Pensions web site at:</t>
  </si>
  <si>
    <t>These percentages ignore deferred compensation, 
but may still give a good approximation if these amounts are small.</t>
  </si>
  <si>
    <t>This is the amount paid to the pastor or to others
for the pastor's welfare.</t>
  </si>
  <si>
    <t>Costs to support pastor's work -- at least</t>
  </si>
  <si>
    <t>Member-only coverage</t>
  </si>
  <si>
    <t>Family coverage without cost sharing</t>
  </si>
  <si>
    <t>Family coverage with 50% cost sharing</t>
  </si>
  <si>
    <t>Family coverage with 100% cost sharing</t>
  </si>
  <si>
    <t>This value must meet Presbytery's Minimum Compensation Guidelines for this call.</t>
  </si>
  <si>
    <t>Changes made for 2015 are retained:</t>
  </si>
  <si>
    <t>The NCIP Terms of Call Workbook supports the generation of Terms of Call</t>
  </si>
  <si>
    <t>with these options.  It does not generate documents needed to authorize</t>
  </si>
  <si>
    <t>F</t>
  </si>
  <si>
    <t>M</t>
  </si>
  <si>
    <t>D</t>
  </si>
  <si>
    <t>Member</t>
  </si>
  <si>
    <t>AC</t>
  </si>
  <si>
    <t>Code</t>
  </si>
  <si>
    <t>Short Name</t>
  </si>
  <si>
    <t>Ackley - East Friesland</t>
  </si>
  <si>
    <t>Ackley - First</t>
  </si>
  <si>
    <t>Albion - First</t>
  </si>
  <si>
    <t>Algona - First</t>
  </si>
  <si>
    <t>Ames - Collegiate</t>
  </si>
  <si>
    <t>Ames - Northminster</t>
  </si>
  <si>
    <t>Boone - First</t>
  </si>
  <si>
    <t>Burt - Burt</t>
  </si>
  <si>
    <t>Cedar Falls - Cedar Heights</t>
  </si>
  <si>
    <t>Cedar Falls - First</t>
  </si>
  <si>
    <t>Clarion - United</t>
  </si>
  <si>
    <t>Conrad - First</t>
  </si>
  <si>
    <t>Fort Dodge - First</t>
  </si>
  <si>
    <t>Garner - United</t>
  </si>
  <si>
    <t>Goldfield - United</t>
  </si>
  <si>
    <t>Grand Junction - First</t>
  </si>
  <si>
    <t>Greene - First</t>
  </si>
  <si>
    <t>Grundy Center - First</t>
  </si>
  <si>
    <t>Irvington - First</t>
  </si>
  <si>
    <t>Jefferson - First</t>
  </si>
  <si>
    <t>Jesup, - First</t>
  </si>
  <si>
    <t>Kamrar - First</t>
  </si>
  <si>
    <t>Lakota - First</t>
  </si>
  <si>
    <t>Lincoln - Salem</t>
  </si>
  <si>
    <t>Lone Rock - Lone Rock</t>
  </si>
  <si>
    <t>Marshalltown - First</t>
  </si>
  <si>
    <t>Mason City - First</t>
  </si>
  <si>
    <t>Maxwell - First</t>
  </si>
  <si>
    <t>McCallsburg - McCallsburg</t>
  </si>
  <si>
    <t>Nevada - Central</t>
  </si>
  <si>
    <t>Paton - First</t>
  </si>
  <si>
    <t>Reinbeck - Amity</t>
  </si>
  <si>
    <t>Reinbeck - First</t>
  </si>
  <si>
    <t>Rudd - Eden</t>
  </si>
  <si>
    <t>State Center - First</t>
  </si>
  <si>
    <t>Steamboat Rock - First</t>
  </si>
  <si>
    <t>Toledo - First</t>
  </si>
  <si>
    <t>Traer - United</t>
  </si>
  <si>
    <t>Washburn - St. Paul's</t>
  </si>
  <si>
    <t>Waterloo - Barclay</t>
  </si>
  <si>
    <t>Waterloo - First</t>
  </si>
  <si>
    <t>Waterloo - Unity</t>
  </si>
  <si>
    <t>Waterloo - Westminster</t>
  </si>
  <si>
    <t>Woden - First</t>
  </si>
  <si>
    <t>Added - 1</t>
  </si>
  <si>
    <t>Added - 2</t>
  </si>
  <si>
    <t>Added - 3</t>
  </si>
  <si>
    <t>Added - 4</t>
  </si>
  <si>
    <t>Other - Not Found</t>
  </si>
  <si>
    <t>Question</t>
  </si>
  <si>
    <t>Information</t>
  </si>
  <si>
    <t>`</t>
  </si>
  <si>
    <t>Death &amp; Disability</t>
  </si>
  <si>
    <t>+</t>
  </si>
  <si>
    <t xml:space="preserve">               + = Added entry - Not in Presbytery list</t>
  </si>
  <si>
    <t>Deferred &amp; Other Comp.</t>
  </si>
  <si>
    <t>Medical Supplement</t>
  </si>
  <si>
    <t>Health Reimb. Acct.</t>
  </si>
  <si>
    <t>Equity Escrow</t>
  </si>
  <si>
    <t>Subtotal Cash &amp; Housing</t>
  </si>
  <si>
    <t>Subtotal Deferred &amp; Other</t>
  </si>
  <si>
    <t>EFFECTIVE SALARY</t>
  </si>
  <si>
    <t>Total Cost</t>
  </si>
  <si>
    <t>Is a Manse Provided ?</t>
  </si>
  <si>
    <t>N</t>
  </si>
  <si>
    <t>Church Level:</t>
  </si>
  <si>
    <t>R</t>
  </si>
  <si>
    <t>C</t>
  </si>
  <si>
    <t>L</t>
  </si>
  <si>
    <t>O</t>
  </si>
  <si>
    <t>Status (select from list):</t>
  </si>
  <si>
    <t>Grundy Center - Bethany</t>
  </si>
  <si>
    <t>A</t>
  </si>
  <si>
    <t>S</t>
  </si>
  <si>
    <t>I</t>
  </si>
  <si>
    <t>Full Name:</t>
  </si>
  <si>
    <t>Specialized Ministry</t>
  </si>
  <si>
    <t>Installed</t>
  </si>
  <si>
    <t>P</t>
  </si>
  <si>
    <t>Minimum</t>
  </si>
  <si>
    <t>Suggested</t>
  </si>
  <si>
    <t>Worship Attendance</t>
  </si>
  <si>
    <t>Mid-Range</t>
  </si>
  <si>
    <t>LC</t>
  </si>
  <si>
    <t>Pastor's Participation</t>
  </si>
  <si>
    <t>Full Time:</t>
  </si>
  <si>
    <t>This Call:</t>
  </si>
  <si>
    <t>Average Worship Attendance.</t>
  </si>
  <si>
    <t>Other Employee &lt; 20 hr/wk</t>
  </si>
  <si>
    <t xml:space="preserve">Number of churches served: </t>
  </si>
  <si>
    <t>Legend</t>
  </si>
  <si>
    <t>SO</t>
  </si>
  <si>
    <t>SC</t>
  </si>
  <si>
    <t>Other Employee</t>
  </si>
  <si>
    <t>+ Spouse</t>
  </si>
  <si>
    <t>+ Family</t>
  </si>
  <si>
    <t>+ Child(ren)</t>
  </si>
  <si>
    <t xml:space="preserve">Called by: </t>
  </si>
  <si>
    <t xml:space="preserve">As: </t>
  </si>
  <si>
    <t>Travel Reimbursement</t>
  </si>
  <si>
    <t>Professional Expenses</t>
  </si>
  <si>
    <t>Continuing Education</t>
  </si>
  <si>
    <t>(Reimbursed @ IRS rate)</t>
  </si>
  <si>
    <t>SUBTOTAL of Vouchered Allowances</t>
  </si>
  <si>
    <t>Time Allowances</t>
  </si>
  <si>
    <t>Continuing Education Leave</t>
  </si>
  <si>
    <t>Vacation</t>
  </si>
  <si>
    <t>weeks / year</t>
  </si>
  <si>
    <t>Cost for Part Year Appointment</t>
  </si>
  <si>
    <t>Pastor's Cost</t>
  </si>
  <si>
    <t>Church's Cost</t>
  </si>
  <si>
    <t>Cash Cost</t>
  </si>
  <si>
    <t xml:space="preserve">Total Cost </t>
  </si>
  <si>
    <t xml:space="preserve"> Terms of Call for: </t>
  </si>
  <si>
    <t>Other Employee ≥ 20 hr/wk</t>
  </si>
  <si>
    <t>Need
StatusCode</t>
  </si>
  <si>
    <t>Manse Value</t>
  </si>
  <si>
    <t>of year</t>
  </si>
  <si>
    <t>Cash Share</t>
  </si>
  <si>
    <t>Calculation of Effective Salary</t>
  </si>
  <si>
    <t xml:space="preserve">  </t>
  </si>
  <si>
    <t>Who provides Manse ?</t>
  </si>
  <si>
    <t>Each Church's Share of Service &amp; Cost (use any convenient units)</t>
  </si>
  <si>
    <t>Description of Allowance</t>
  </si>
  <si>
    <t>Other (please specify)</t>
  </si>
  <si>
    <t>◄ Status</t>
  </si>
  <si>
    <t>PE</t>
  </si>
  <si>
    <t>Approved</t>
  </si>
  <si>
    <t>Clerk of Session (signature)</t>
  </si>
  <si>
    <t>(signature)</t>
  </si>
  <si>
    <t>Low</t>
  </si>
  <si>
    <t>(50% suggested.)</t>
  </si>
  <si>
    <t>SECA Basis Calculation</t>
  </si>
  <si>
    <t>High</t>
  </si>
  <si>
    <t>SECA Tax Calculation</t>
  </si>
  <si>
    <t>EFFECTIVE SALARY  ►</t>
  </si>
  <si>
    <t>1.  Pastor or other Employee</t>
  </si>
  <si>
    <t>2.  Churches or Employing Entities</t>
  </si>
  <si>
    <t>3.  Position to which Called</t>
  </si>
  <si>
    <t>5.  Annual Compensation - Effective Salary</t>
  </si>
  <si>
    <t>Not Offered</t>
  </si>
  <si>
    <t>Benefit Group for this call:</t>
  </si>
  <si>
    <t>Invalid Input or Error</t>
  </si>
  <si>
    <t>Churches</t>
  </si>
  <si>
    <t>""</t>
  </si>
  <si>
    <t>Position Classification:</t>
  </si>
  <si>
    <t>TOTAL Cost, including Manse</t>
  </si>
  <si>
    <t>Total</t>
  </si>
  <si>
    <t>Position Classification</t>
  </si>
  <si>
    <t>Offer Options</t>
  </si>
  <si>
    <t>Offered</t>
  </si>
  <si>
    <t>Complete secttions 1 thru 5 before proceeding.</t>
  </si>
  <si>
    <t>Pastor's Participation Required</t>
  </si>
  <si>
    <t>Menu</t>
  </si>
  <si>
    <t>PD&amp;D</t>
  </si>
  <si>
    <t>Not Allowed</t>
  </si>
  <si>
    <t>Message</t>
  </si>
  <si>
    <t>◄ Offered  or Not Offered</t>
  </si>
  <si>
    <t>SECA Basis = Subtotal C&amp;H + Church SECA Contribution</t>
  </si>
  <si>
    <t>Minimum Basis</t>
  </si>
  <si>
    <t>Maximum Basis</t>
  </si>
  <si>
    <t>BOP Effective Salary ►</t>
  </si>
  <si>
    <t>TOTAL</t>
  </si>
  <si>
    <t>BOP Dues Basis</t>
  </si>
  <si>
    <t>Awaiting Input</t>
  </si>
  <si>
    <t>Part Cost</t>
  </si>
  <si>
    <t>Other Employer paid</t>
  </si>
  <si>
    <t>Use only if living in provided manse.</t>
  </si>
  <si>
    <t xml:space="preserve"> ◄ Accept or Decline</t>
  </si>
  <si>
    <t xml:space="preserve"> ◄ Clear this Entry</t>
  </si>
  <si>
    <t>X</t>
  </si>
  <si>
    <t xml:space="preserve">  Declined</t>
  </si>
  <si>
    <t xml:space="preserve">  Not Allowed or Not Offered</t>
  </si>
  <si>
    <t xml:space="preserve">  Accepted or Required</t>
  </si>
  <si>
    <t>Q</t>
  </si>
  <si>
    <t>If your church is listed below, proceed to the Terms of Call sheet, where you will be able to select it.
If your church or employing entity is not listed or is incorrect, please enter it in the spaces
provided at the bottom of the list, then select that added entry in the Terms of Call sheet.</t>
  </si>
  <si>
    <t>Version</t>
  </si>
  <si>
    <t>CE Min</t>
  </si>
  <si>
    <t>Vac Min</t>
  </si>
  <si>
    <t xml:space="preserve">TOC Version </t>
  </si>
  <si>
    <t>The worship attendance data has been updated, since the compensation guidelines</t>
  </si>
  <si>
    <t xml:space="preserve">structure.  This workbook now supports both Pastor's Participation and Menu Options, </t>
  </si>
  <si>
    <t xml:space="preserve">now on the Terms of Call Worksheet.  Al entries on the Terms of Call worksheet are in </t>
  </si>
  <si>
    <t xml:space="preserve">Because of these chnages, one should have their church's Board of Pensions Employer </t>
  </si>
  <si>
    <t>Data entry Improvements have been made.  The selection of the employing church is</t>
  </si>
  <si>
    <t>BOP dues paid by the church are not subject to SECA or income taxes, and are</t>
  </si>
  <si>
    <t>that have been replaced with the 2017 restructuring.</t>
  </si>
  <si>
    <t xml:space="preserve">Changes made for 2016 were all related to Board of Pension changes for that year </t>
  </si>
  <si>
    <t xml:space="preserve">for those employees eligible for each of these plans,along with the two-step BOP </t>
  </si>
  <si>
    <t>Employee selecting from these options.</t>
  </si>
  <si>
    <t xml:space="preserve">reporting procedure, with the Church first selecting options to be offered, then the </t>
  </si>
  <si>
    <t xml:space="preserve">one column, to simplify navigation.  To accommodate the aditional inputs needed, the </t>
  </si>
  <si>
    <t xml:space="preserve">Terms of Call report is now a two-page printout.  </t>
  </si>
  <si>
    <t>This sheet lists churches in the Presbytery.  No entry is needed here unless the employing entity is not correctly listed.</t>
  </si>
  <si>
    <r>
      <t xml:space="preserve"> The worksheets are protected</t>
    </r>
    <r>
      <rPr>
        <sz val="10"/>
        <rFont val="Arial"/>
        <family val="2"/>
      </rPr>
      <t xml:space="preserve">, to prevent inadvertent clobbering of the formulae.  You will be
 able to navigate to only the entry cells.  To advance to the next entry cell, just press the TAB
 key.  To make changes, just select the desired entry cell with the mouse.  </t>
    </r>
  </si>
  <si>
    <t>Data entry cells are dynamically color coded:</t>
  </si>
  <si>
    <t>Terms of Call</t>
  </si>
  <si>
    <r>
      <t xml:space="preserve">They may be entry cells </t>
    </r>
    <r>
      <rPr>
        <b/>
        <sz val="10"/>
        <rFont val="Arial"/>
        <family val="2"/>
      </rPr>
      <t>not yet ready</t>
    </r>
    <r>
      <rPr>
        <sz val="10"/>
        <rFont val="Arial"/>
        <family val="2"/>
      </rPr>
      <t xml:space="preserve"> to receive input,
They may be cells that </t>
    </r>
    <r>
      <rPr>
        <b/>
        <sz val="10"/>
        <rFont val="Arial"/>
        <family val="2"/>
      </rPr>
      <t>do not need an entry</t>
    </r>
    <r>
      <rPr>
        <sz val="10"/>
        <rFont val="Arial"/>
        <family val="2"/>
      </rPr>
      <t xml:space="preserve"> for this call
     (The label is often </t>
    </r>
    <r>
      <rPr>
        <sz val="10"/>
        <color rgb="FF808080"/>
        <rFont val="Arial"/>
        <family val="2"/>
      </rPr>
      <t xml:space="preserve">grayed out </t>
    </r>
    <r>
      <rPr>
        <sz val="10"/>
        <rFont val="Arial"/>
        <family val="2"/>
      </rPr>
      <t>for these),
They may be cells for which an</t>
    </r>
    <r>
      <rPr>
        <b/>
        <sz val="10"/>
        <rFont val="Arial"/>
        <family val="2"/>
      </rPr>
      <t xml:space="preserve"> entry is optional </t>
    </r>
    <r>
      <rPr>
        <sz val="10"/>
        <rFont val="Arial"/>
        <family val="2"/>
      </rPr>
      <t xml:space="preserve"> (These may be left
     blank or have an entry acceptable</t>
    </r>
    <r>
      <rPr>
        <b/>
        <sz val="10"/>
        <rFont val="Arial"/>
        <family val="2"/>
      </rPr>
      <t xml:space="preserve"> </t>
    </r>
    <r>
      <rPr>
        <sz val="10"/>
        <rFont val="Arial"/>
        <family val="2"/>
      </rPr>
      <t xml:space="preserve">to the workbook's checking),
They may be </t>
    </r>
    <r>
      <rPr>
        <b/>
        <sz val="10"/>
        <rFont val="Arial"/>
        <family val="2"/>
      </rPr>
      <t>non-entry cells</t>
    </r>
    <r>
      <rPr>
        <sz val="10"/>
        <rFont val="Arial"/>
        <family val="2"/>
      </rPr>
      <t>.  (You will be unable to select these.)</t>
    </r>
  </si>
  <si>
    <t xml:space="preserve"> cells can represent a variety of acceptable conditions:</t>
  </si>
  <si>
    <r>
      <t xml:space="preserve"> cells </t>
    </r>
    <r>
      <rPr>
        <b/>
        <sz val="10"/>
        <rFont val="Arial"/>
        <family val="2"/>
      </rPr>
      <t>are ready for a needed entry</t>
    </r>
    <r>
      <rPr>
        <sz val="10"/>
        <rFont val="Arial"/>
        <family val="2"/>
      </rPr>
      <t>.  While many cells might be ready to
 receive data, entering in the order listed is recommended.</t>
    </r>
  </si>
  <si>
    <r>
      <t xml:space="preserve"> cells indicate an </t>
    </r>
    <r>
      <rPr>
        <b/>
        <sz val="10"/>
        <rFont val="Arial"/>
        <family val="2"/>
      </rPr>
      <t>error that should be corrected</t>
    </r>
    <r>
      <rPr>
        <sz val="10"/>
        <rFont val="Arial"/>
        <family val="2"/>
      </rPr>
      <t xml:space="preserve">.  The most frequent cause
 of this is data entry into a cell that is not ready for data, and this is easily
 cleared by the DEL key.  Depending on  prior inputs, some cells may never
 need data.  </t>
    </r>
  </si>
  <si>
    <t>Using Pastor's Participation (Family) Coverage rate</t>
  </si>
  <si>
    <r>
      <t xml:space="preserve">
</t>
    </r>
    <r>
      <rPr>
        <b/>
        <sz val="10"/>
        <rFont val="Arial"/>
        <family val="2"/>
      </rPr>
      <t>This calculator is intended to give approximate starting values where a specific goal is desired.</t>
    </r>
    <r>
      <rPr>
        <sz val="10"/>
        <rFont val="Arial"/>
        <family val="2"/>
      </rPr>
      <t xml:space="preserve">
Displayed values may not be exact, because of roundoff.  
This calculator ignores most non-proportional components of the cost.
This calculator is for full-time full-year positions.
</t>
    </r>
    <r>
      <rPr>
        <b/>
        <sz val="10"/>
        <rFont val="Arial"/>
        <family val="2"/>
      </rPr>
      <t>Use the Terms of Call Form for complete calculations.</t>
    </r>
  </si>
  <si>
    <t>Use Calculator at right or Terms of Call Form</t>
  </si>
  <si>
    <t xml:space="preserve">  1.  Pastor or other Employee</t>
  </si>
  <si>
    <t xml:space="preserve">  2.  Churches or Employing Entities</t>
  </si>
  <si>
    <t xml:space="preserve">  3.  Position to which Called</t>
  </si>
  <si>
    <t xml:space="preserve">  4.  Compensation Guidelines</t>
  </si>
  <si>
    <t xml:space="preserve">  5.  Annual Compensation -- Effective Salary</t>
  </si>
  <si>
    <r>
      <t xml:space="preserve">A </t>
    </r>
    <r>
      <rPr>
        <b/>
        <u/>
        <sz val="10"/>
        <rFont val="Arial"/>
        <family val="2"/>
      </rPr>
      <t>L</t>
    </r>
    <r>
      <rPr>
        <b/>
        <sz val="10"/>
        <rFont val="Arial"/>
        <family val="2"/>
      </rPr>
      <t>ead</t>
    </r>
    <r>
      <rPr>
        <sz val="10"/>
        <rFont val="Arial"/>
        <family val="2"/>
      </rPr>
      <t xml:space="preserve"> is a solo pastor, a head-of-staff, or a co-pastor.</t>
    </r>
  </si>
  <si>
    <r>
      <t xml:space="preserve">An </t>
    </r>
    <r>
      <rPr>
        <b/>
        <u/>
        <sz val="10"/>
        <rFont val="Arial"/>
        <family val="2"/>
      </rPr>
      <t>A</t>
    </r>
    <r>
      <rPr>
        <b/>
        <sz val="10"/>
        <rFont val="Arial"/>
        <family val="2"/>
      </rPr>
      <t>ssociate</t>
    </r>
    <r>
      <rPr>
        <sz val="10"/>
        <rFont val="Arial"/>
        <family val="2"/>
      </rPr>
      <t xml:space="preserve"> pastor reports to a lead pastor.</t>
    </r>
  </si>
  <si>
    <r>
      <rPr>
        <b/>
        <u/>
        <sz val="10"/>
        <rFont val="Arial"/>
        <family val="2"/>
      </rPr>
      <t>S</t>
    </r>
    <r>
      <rPr>
        <b/>
        <sz val="10"/>
        <rFont val="Arial"/>
        <family val="2"/>
      </rPr>
      <t>pecialized Ministry</t>
    </r>
    <r>
      <rPr>
        <sz val="10"/>
        <rFont val="Arial"/>
        <family val="2"/>
      </rPr>
      <t xml:space="preserve"> calls are not subject to NCIP Compensation Minima</t>
    </r>
  </si>
  <si>
    <t>For single-church calls, no inputs are needed, and this section may be ignored.</t>
  </si>
  <si>
    <t>Progress Status</t>
  </si>
  <si>
    <t>The number of awaiting-input cells will vary as selections enable other inputs.</t>
  </si>
  <si>
    <t>When finished, there should be no color-flagged cells.</t>
  </si>
  <si>
    <t>You should verify that the terms entered are acceptable to both church and pastor.</t>
  </si>
  <si>
    <t xml:space="preserve">TOTAL ANNUAL  COST </t>
  </si>
  <si>
    <t>Retired Pastor Service</t>
  </si>
  <si>
    <t>Retiree's Participation Required</t>
  </si>
  <si>
    <t>DD</t>
  </si>
  <si>
    <t>Explanations of progress codes</t>
  </si>
  <si>
    <t>blank</t>
  </si>
  <si>
    <t>No entry on this line</t>
  </si>
  <si>
    <t>#</t>
  </si>
  <si>
    <t>constant</t>
  </si>
  <si>
    <t>formula</t>
  </si>
  <si>
    <t>= currently no entry wanted</t>
  </si>
  <si>
    <t>= required entry</t>
  </si>
  <si>
    <t>3 +</t>
  </si>
  <si>
    <t>= special statis</t>
  </si>
  <si>
    <t>Satisfactory (at least for now)</t>
  </si>
  <si>
    <t>Unwanted Input</t>
  </si>
  <si>
    <t>Other Errors</t>
  </si>
  <si>
    <t>Input needed on this line</t>
  </si>
  <si>
    <t>Errror on this line</t>
  </si>
  <si>
    <t>(info)</t>
  </si>
  <si>
    <t>Supplemental Death</t>
  </si>
  <si>
    <t>Supplemental Disability</t>
  </si>
  <si>
    <r>
      <t xml:space="preserve">Substantial changes were made </t>
    </r>
    <r>
      <rPr>
        <sz val="10"/>
        <rFont val="Arial"/>
        <family val="2"/>
      </rPr>
      <t xml:space="preserve">for the changes in tbe Board of Pensions offering </t>
    </r>
  </si>
  <si>
    <t>Changes made for 2017 are retained:</t>
  </si>
  <si>
    <t xml:space="preserve">information on which offered options are being accepted by each employee. </t>
  </si>
  <si>
    <t>Agreement for the coming year at hand when preparing their Terms of Call, and also</t>
  </si>
  <si>
    <t xml:space="preserve">The costs of BOP benefits have been updated to reflect those for this program year.  </t>
  </si>
  <si>
    <t xml:space="preserve">The term Teaching Elder has been replaced with Minister of Word and Sacrament, </t>
  </si>
  <si>
    <t>Minister of Word &amp; Sacrament</t>
  </si>
  <si>
    <t>Retired Minister</t>
  </si>
  <si>
    <t>Lead Minister of Word &amp; Sacrament</t>
  </si>
  <si>
    <t>Associate Minister</t>
  </si>
  <si>
    <t>Specialized Ministry - Minister</t>
  </si>
  <si>
    <t>Installed Minister</t>
  </si>
  <si>
    <t>Other Minister ≥ 20 hr/wk</t>
  </si>
  <si>
    <t>Other Minister &lt; 20 hr/wk</t>
  </si>
  <si>
    <t>LM</t>
  </si>
  <si>
    <t>AM</t>
  </si>
  <si>
    <t>SM</t>
  </si>
  <si>
    <t>contributions to a Board of Pensions managed IRA.</t>
  </si>
  <si>
    <t xml:space="preserve">(or just Minister, where space is tight) and the term Commissioned Ruling Elder </t>
  </si>
  <si>
    <t>replaced with Commissioned Lay Pastor, to agree with the current Book of Order.</t>
  </si>
  <si>
    <t>Commissioned Lay Pastor</t>
  </si>
  <si>
    <t>Lead Commissioned Lay Pastor</t>
  </si>
  <si>
    <t>Associate Commissioned Lay Pastor</t>
  </si>
  <si>
    <t>Specialized Ministry - CLP</t>
  </si>
  <si>
    <t xml:space="preserve">Employer paid 403(b) / RSP </t>
  </si>
  <si>
    <t>Employer Match BOP RSP</t>
  </si>
  <si>
    <t xml:space="preserve">  Use this line for RSP if not matching employee contrib.</t>
  </si>
  <si>
    <t xml:space="preserve">updated to agree with the clarified policies of the Board of Pensions for 2018.  </t>
  </si>
  <si>
    <t>Details of contributions to the BOP  Retirement Savings Plan (RSP) have been</t>
  </si>
  <si>
    <t>The entries needed have been modified to improve understandability.</t>
  </si>
  <si>
    <t xml:space="preserve">See further information on the Directions sheet, if needed.  </t>
  </si>
  <si>
    <t xml:space="preserve">Depending on the group classification and options offered, several of these entry cells
will not need information.  These should be left blank.  </t>
  </si>
  <si>
    <t xml:space="preserve">This sheet summarizes changes from previous years' workbooks.  </t>
  </si>
  <si>
    <t>apply.</t>
  </si>
  <si>
    <t xml:space="preserve">    guidelines</t>
  </si>
  <si>
    <t xml:space="preserve">                No</t>
  </si>
  <si>
    <r>
      <t xml:space="preserve">Housing </t>
    </r>
    <r>
      <rPr>
        <sz val="10"/>
        <rFont val="Arial"/>
        <family val="2"/>
      </rPr>
      <t>(If Tax Exempt)</t>
    </r>
  </si>
  <si>
    <t xml:space="preserve">Enhancements were made in the immediate responses to invalid inputs, to </t>
  </si>
  <si>
    <t>detect invalid combinations previously overlooked.</t>
  </si>
  <si>
    <t>NA</t>
  </si>
  <si>
    <t>DRAFT</t>
  </si>
  <si>
    <t>Date Entry
Limits</t>
  </si>
  <si>
    <t>Columns F:H - Question</t>
  </si>
  <si>
    <t>Column I Data Entry</t>
  </si>
  <si>
    <t>Column J Predetermined Status
(displays under empty entry cell)</t>
  </si>
  <si>
    <t>Columns K:S Further directions and information for this line</t>
  </si>
  <si>
    <t>Column A - Need (hidden)</t>
  </si>
  <si>
    <t>Column B - Status Code (hidden)</t>
  </si>
  <si>
    <t>Column C - Information (hidden)</t>
  </si>
  <si>
    <t>Short status info for this line</t>
  </si>
  <si>
    <t>6.  Board of Pensions Dues &amp; Options</t>
  </si>
  <si>
    <t>BOP Employer Offerings for this  group, as defined in Employer Agreement:</t>
  </si>
  <si>
    <t>BOP Effective Salary</t>
  </si>
  <si>
    <t>BOP Eff. Salary</t>
  </si>
  <si>
    <t>Church Part</t>
  </si>
  <si>
    <r>
      <t>7.  Other Allowances</t>
    </r>
    <r>
      <rPr>
        <sz val="12"/>
        <rFont val="Arial"/>
        <family val="2"/>
      </rPr>
      <t xml:space="preserve"> </t>
    </r>
    <r>
      <rPr>
        <sz val="10"/>
        <rFont val="Arial"/>
        <family val="2"/>
      </rPr>
      <t xml:space="preserve">(must be vouchered) </t>
    </r>
    <r>
      <rPr>
        <b/>
        <sz val="12"/>
        <rFont val="Arial"/>
        <family val="2"/>
      </rPr>
      <t>and Total Cost</t>
    </r>
  </si>
  <si>
    <t>Member Only</t>
  </si>
  <si>
    <t>Member + Spouse</t>
  </si>
  <si>
    <t>Member + Child(ren)</t>
  </si>
  <si>
    <t>Member + Family</t>
  </si>
  <si>
    <t>Dental Options</t>
  </si>
  <si>
    <t>Defined Cost Options</t>
  </si>
  <si>
    <t>Undefined Cost Options</t>
  </si>
  <si>
    <t>Maximum Dental Costs ►</t>
  </si>
  <si>
    <t>Flexible Spending Accts</t>
  </si>
  <si>
    <t>H</t>
  </si>
  <si>
    <t>Healthcare</t>
  </si>
  <si>
    <t>Dependent Care</t>
  </si>
  <si>
    <t>B</t>
  </si>
  <si>
    <t xml:space="preserve">Maximum </t>
  </si>
  <si>
    <t xml:space="preserve">Minimum </t>
  </si>
  <si>
    <t>TOTAL Cost of BOP Benefits</t>
  </si>
  <si>
    <t xml:space="preserve">Does not include Undefined Cost Options that may be selected. </t>
  </si>
  <si>
    <t>Employee's Cost  ▲  may be paid by payroll deduction.</t>
  </si>
  <si>
    <t>Retirement Savings through BOP  RSP with Employeer Matching</t>
  </si>
  <si>
    <r>
      <t>4.  Presbytery's Annual Compensation Guidelines</t>
    </r>
    <r>
      <rPr>
        <b/>
        <sz val="10"/>
        <rFont val="Arial"/>
        <family val="2"/>
      </rPr>
      <t xml:space="preserve"> </t>
    </r>
    <r>
      <rPr>
        <sz val="10"/>
        <rFont val="Arial"/>
        <family val="2"/>
      </rPr>
      <t>(no inputs are required in this section.)</t>
    </r>
  </si>
  <si>
    <t>For</t>
  </si>
  <si>
    <t>Position:</t>
  </si>
  <si>
    <t>Annual Compensation</t>
  </si>
  <si>
    <t>Board of Pensions Effective Salary</t>
  </si>
  <si>
    <t>Called by</t>
  </si>
  <si>
    <t>Employer-Paid Retirement Savings</t>
  </si>
  <si>
    <t>Employer-Match Retirement Savings</t>
  </si>
  <si>
    <t>Health Reimbursement Account</t>
  </si>
  <si>
    <t>Other Employer-Paid Deferred Comp.</t>
  </si>
  <si>
    <t>Deferred &amp; Other Compensation</t>
  </si>
  <si>
    <t>Board of Pensions Benefits</t>
  </si>
  <si>
    <t>Dental</t>
  </si>
  <si>
    <t>Flexible Spending Accounts</t>
  </si>
  <si>
    <t>Reimbursement Allowances</t>
  </si>
  <si>
    <t>Professional Travel</t>
  </si>
  <si>
    <t>SUBTOTAL Vouchered Allowances</t>
  </si>
  <si>
    <t xml:space="preserve">Vacation </t>
  </si>
  <si>
    <t>(must be vouchered)</t>
  </si>
  <si>
    <t>(basis for some benefit dues)</t>
  </si>
  <si>
    <t>weeks</t>
  </si>
  <si>
    <t>Approval Status:</t>
  </si>
  <si>
    <t>by the</t>
  </si>
  <si>
    <t>Congregation</t>
  </si>
  <si>
    <t>Total Benefit Costs</t>
  </si>
  <si>
    <t>hours/week</t>
  </si>
  <si>
    <t>Missing Inputs in Terms of Call tab</t>
  </si>
  <si>
    <t>Invalid Inputs or Errors in Terms of Call tab</t>
  </si>
  <si>
    <t xml:space="preserve">Total of Salary-Based Benefit Costs: </t>
  </si>
  <si>
    <t>BOP_PGM</t>
  </si>
  <si>
    <t>Complete program selectionn before proceeding.</t>
  </si>
  <si>
    <t>Retired Participation</t>
  </si>
  <si>
    <t>Not Needed for Retirees</t>
  </si>
  <si>
    <t>Costs of these benefis that may be vary with employee selection are not included in cost analysis,.</t>
  </si>
  <si>
    <t>Cost not Included</t>
  </si>
  <si>
    <t>Cost for</t>
  </si>
  <si>
    <t xml:space="preserve">Part-Year call </t>
  </si>
  <si>
    <t>(options to be selected</t>
  </si>
  <si>
    <t xml:space="preserve">  in Benefits Connect)</t>
  </si>
  <si>
    <t xml:space="preserve">For Presbytery guidelines ► </t>
  </si>
  <si>
    <t xml:space="preserve">Totals exclude Undefined Cost options.  </t>
  </si>
  <si>
    <t>Status</t>
  </si>
  <si>
    <t>Recommended</t>
  </si>
  <si>
    <t>by</t>
  </si>
  <si>
    <t>Personnel Committee</t>
  </si>
  <si>
    <t>date</t>
  </si>
  <si>
    <t>Session</t>
  </si>
  <si>
    <t>Another group ►</t>
  </si>
  <si>
    <t>▼</t>
  </si>
  <si>
    <t>▲</t>
  </si>
  <si>
    <t>For the Pastor (Employee), report the approval status of these Terms of Call:</t>
  </si>
  <si>
    <t>Report1</t>
  </si>
  <si>
    <r>
      <t>THIS</t>
    </r>
    <r>
      <rPr>
        <sz val="10"/>
        <rFont val="Arial"/>
        <family val="2"/>
      </rPr>
      <t xml:space="preserve"> sheet, provfides  directions for the workbook. Brief step-specific directions are provided on the Terms of Call sheet.</t>
    </r>
  </si>
  <si>
    <t xml:space="preserve">  7.  Other Allowances and Total Cost</t>
  </si>
  <si>
    <t>STEP-BY-STEP DIRECTIONS for the Terms of Call sheet</t>
  </si>
  <si>
    <t>Changes made for 2018 are retained:</t>
  </si>
  <si>
    <t xml:space="preserve">It was realized that for many churches, the development of the Terms of Call is needed before the end of the Board of Pensions Open Enrollment period during which the Pastors select their benefits on the Board of Pensions Benefits Connection.  The entry of these selections (the previous Section 7.), has been removed from the Terms of Call sheet, and because these selections affect the total cost, some costs report only a range of possible costs.  </t>
  </si>
  <si>
    <t xml:space="preserve">The Board of Pensions is offering many new benefit options for 2019.  The Terms of Call workbook attempts to support these new options, including verifying eligiibility and calculating the costs.  </t>
  </si>
  <si>
    <t xml:space="preserve">A short Report sheet (two versions) is used to report the Terms of Call to the Presbytery,  The Terms of Call sheet remains for input, and provides some additional information and explanation of the options.  </t>
  </si>
  <si>
    <t>Le Roy MN - First</t>
  </si>
  <si>
    <t>Le Roy, MN</t>
  </si>
  <si>
    <t xml:space="preserve"> Presbytery's Compensation Guidelines:  </t>
  </si>
  <si>
    <t>Name of  committee, commision, or board</t>
  </si>
  <si>
    <t>Commission on Ministry</t>
  </si>
  <si>
    <t xml:space="preserve">Approved Terms of Call will need to be signed before submission.  </t>
  </si>
  <si>
    <t>To print report for review or submission, first save the file with a name that uniquely identifies it.</t>
  </si>
  <si>
    <t>9.  Approvals and Reporting</t>
  </si>
  <si>
    <t>The counts of cells awaiting input or error flagged are shown at the top of the screen.</t>
  </si>
  <si>
    <t>This is where inputs for the Terms of Call are entered and checked.  All entries are made on this worksheet.</t>
  </si>
  <si>
    <t xml:space="preserve">Thia is a report for multi-church (Yoked) calls used to submit the Terms of Call to the Presbytery.  No entries are made on this sheet. </t>
  </si>
  <si>
    <t xml:space="preserve">The worksheet will show the costs to both the Church and the Pastor on these optiopns, where possible.  As costs may vary depending on options to be selected by the Pastor via the Board of Pensions Benefits Connect site, many of these can only be reported as a range, and for a few it is impractical to predict a maximum cost.  </t>
  </si>
  <si>
    <t>HOW TO FIND INFORMATION AND COSTS FROM BENEFITS CONNECT</t>
  </si>
  <si>
    <t xml:space="preserve">Your Employer Representative will need to go the the Board of Pensions site at www.pensions.org, select BENEFITS CONNECT in the top banner, then log on with their Employer Representative credentials.  </t>
  </si>
  <si>
    <t>This is a one-page report for single-church calls used to to submit the Terms of Call to the Presbytery. No entries are made on this sheet.</t>
  </si>
  <si>
    <t>For details on the per-employee costs, select the specific benefit  5. Medical, and then the specific employee group.  The full details of what is offered to each employee in the group is shown, and may be printed.  As with the summary report, a printout of this page for each  group of employees being offered Menu Medical benefits will allow convenient access while entering the needed information into the Terms of Call workbook.</t>
  </si>
  <si>
    <r>
      <t xml:space="preserve">8.  Manse and Yoked Call Accounting </t>
    </r>
    <r>
      <rPr>
        <sz val="12"/>
        <rFont val="Arial"/>
        <family val="2"/>
      </rPr>
      <t>(no entries needed for single-church calls)</t>
    </r>
  </si>
  <si>
    <t>Status ►</t>
  </si>
  <si>
    <t xml:space="preserve">Total Costs for following benefits may vary with employer's location. </t>
  </si>
  <si>
    <t>Vision Eyewear Options</t>
  </si>
  <si>
    <t>Vision Eyewear</t>
  </si>
  <si>
    <t>Summary of Annual Costs</t>
  </si>
  <si>
    <t>TOTAL ANNUAL COST TO CHURCH:</t>
  </si>
  <si>
    <t>Yoked Congregations:</t>
  </si>
  <si>
    <t>TOTAL ANNUAL COST TO CHURCHES:</t>
  </si>
  <si>
    <t>Sharing of Yoked Call:</t>
  </si>
  <si>
    <t>%</t>
  </si>
  <si>
    <t>Report2</t>
  </si>
  <si>
    <t>If your church is unlisted, please enter it below.</t>
  </si>
  <si>
    <t>h</t>
  </si>
  <si>
    <t>Lead Pastor or Co-Pastor</t>
  </si>
  <si>
    <t>Associate Pastor</t>
  </si>
  <si>
    <t>Position Type (select from list):</t>
  </si>
  <si>
    <t>Installed Status</t>
  </si>
  <si>
    <t>Is this an Installed Position ?</t>
  </si>
  <si>
    <t>Manse Option</t>
  </si>
  <si>
    <t>Manse is provided.</t>
  </si>
  <si>
    <t xml:space="preserve">        40    hours / week</t>
  </si>
  <si>
    <t>Employee Type</t>
  </si>
  <si>
    <t>Non-Installed</t>
  </si>
  <si>
    <t>= optional entry, OK to be left blank</t>
  </si>
  <si>
    <t>formula - based on other entries</t>
  </si>
  <si>
    <t>= special status</t>
  </si>
  <si>
    <r>
      <rPr>
        <b/>
        <sz val="10"/>
        <rFont val="Arial"/>
        <family val="2"/>
      </rPr>
      <t>Column A</t>
    </r>
    <r>
      <rPr>
        <sz val="10"/>
        <rFont val="Arial"/>
        <family val="2"/>
      </rPr>
      <t xml:space="preserve"> - Need (hidden)</t>
    </r>
  </si>
  <si>
    <r>
      <rPr>
        <b/>
        <sz val="10"/>
        <rFont val="Arial"/>
        <family val="2"/>
      </rPr>
      <t>Column B</t>
    </r>
    <r>
      <rPr>
        <sz val="10"/>
        <rFont val="Arial"/>
        <family val="2"/>
      </rPr>
      <t xml:space="preserve"> - Status Code (hidden)</t>
    </r>
  </si>
  <si>
    <r>
      <rPr>
        <b/>
        <sz val="10"/>
        <rFont val="Arial"/>
        <family val="2"/>
      </rPr>
      <t>Column C</t>
    </r>
    <r>
      <rPr>
        <sz val="10"/>
        <rFont val="Arial"/>
        <family val="2"/>
      </rPr>
      <t xml:space="preserve"> - Information (hidden)</t>
    </r>
  </si>
  <si>
    <r>
      <rPr>
        <b/>
        <sz val="10"/>
        <rFont val="Arial"/>
        <family val="2"/>
      </rPr>
      <t>Columns F:H</t>
    </r>
    <r>
      <rPr>
        <sz val="10"/>
        <rFont val="Arial"/>
        <family val="2"/>
      </rPr>
      <t xml:space="preserve"> - Question/Directions</t>
    </r>
  </si>
  <si>
    <r>
      <rPr>
        <b/>
        <sz val="10"/>
        <rFont val="Arial"/>
        <family val="2"/>
      </rPr>
      <t>Columns K:S</t>
    </r>
    <r>
      <rPr>
        <sz val="10"/>
        <rFont val="Arial"/>
        <family val="2"/>
      </rPr>
      <t xml:space="preserve"> Further directions and information for this line</t>
    </r>
  </si>
  <si>
    <t>No entry needed (for this Call)</t>
  </si>
  <si>
    <t>Acceptable Entry</t>
  </si>
  <si>
    <t>Entry optional, blank acceptable</t>
  </si>
  <si>
    <t>Error or Invalid Input</t>
  </si>
  <si>
    <t>Entry OK</t>
  </si>
  <si>
    <t>Optional entry - blank OK</t>
  </si>
  <si>
    <r>
      <rPr>
        <b/>
        <sz val="10"/>
        <rFont val="Arial"/>
        <family val="2"/>
      </rPr>
      <t>Column I</t>
    </r>
    <r>
      <rPr>
        <sz val="10"/>
        <rFont val="Arial"/>
        <family val="2"/>
      </rPr>
      <t xml:space="preserve"> - Input Data Entry
(long entry cells may merge w/Col J:P)</t>
    </r>
  </si>
  <si>
    <r>
      <rPr>
        <b/>
        <sz val="10"/>
        <rFont val="Arial"/>
        <family val="2"/>
      </rPr>
      <t>Column J</t>
    </r>
    <r>
      <rPr>
        <sz val="10"/>
        <rFont val="Arial"/>
        <family val="2"/>
      </rPr>
      <t xml:space="preserve"> - Predetermined Status
(displays under empty entry cell in Col. I)</t>
    </r>
  </si>
  <si>
    <t xml:space="preserve"> of the year</t>
  </si>
  <si>
    <t xml:space="preserve"> of Full Time</t>
  </si>
  <si>
    <t xml:space="preserve"> days = </t>
  </si>
  <si>
    <t>= optional entry, may be left blank</t>
  </si>
  <si>
    <t xml:space="preserve">First Day of Call:  </t>
  </si>
  <si>
    <t xml:space="preserve">Last Day of Call:  </t>
  </si>
  <si>
    <r>
      <t xml:space="preserve">(Enter </t>
    </r>
    <r>
      <rPr>
        <b/>
        <sz val="10"/>
        <rFont val="Arial"/>
        <family val="2"/>
      </rPr>
      <t>E</t>
    </r>
    <r>
      <rPr>
        <sz val="10"/>
        <rFont val="Arial"/>
        <family val="2"/>
      </rPr>
      <t xml:space="preserve">  below ▼ if Exempt)</t>
    </r>
  </si>
  <si>
    <t xml:space="preserve">  Enter matching limit for BOP Retirement Savings Plan </t>
  </si>
  <si>
    <t>Max. ►</t>
  </si>
  <si>
    <t>(in Sect. 5)</t>
  </si>
  <si>
    <t xml:space="preserve"> for testing</t>
  </si>
  <si>
    <t xml:space="preserve"> only:</t>
  </si>
  <si>
    <t xml:space="preserve">From </t>
  </si>
  <si>
    <t xml:space="preserve">to </t>
  </si>
  <si>
    <t xml:space="preserve"> of full time</t>
  </si>
  <si>
    <t xml:space="preserve"> Maximum</t>
  </si>
  <si>
    <t xml:space="preserve">It has been learned that for the Board of Pensions Menu Medical benefits, the dollar costs vary with the employer, in order to better match the costs of the services in each geographical area.  These costs for each church are revealed to only that congregation's registered Employer Represemtative amd its its employees who are enrolled for benefits.  These costs have been pre-entered in the workbook with the costs for the author's congregation. This should give an approximationof the costs for all, but each church may need to verify if these are correct for them and enter corrected values, if needed.  The Directions sheet provides detailed directions on how to obtain and enter corrected values.  </t>
  </si>
  <si>
    <t>Changes made for 2019 are retained:</t>
  </si>
  <si>
    <t>The Year for the Terms of Call has been added to the Reports Pages.</t>
  </si>
  <si>
    <t>Entry of starting and ending dates for partial-year calls has been improved.</t>
  </si>
  <si>
    <t>CLP Factor</t>
  </si>
  <si>
    <t>For Lead Commissioned Lay Pastor</t>
  </si>
  <si>
    <t>For Associate Commissioned Lay Pastor</t>
  </si>
  <si>
    <t>a</t>
  </si>
  <si>
    <t>b</t>
  </si>
  <si>
    <t>c</t>
  </si>
  <si>
    <t>d</t>
  </si>
  <si>
    <t>e</t>
  </si>
  <si>
    <t>f</t>
  </si>
  <si>
    <t>g</t>
  </si>
  <si>
    <t>i</t>
  </si>
  <si>
    <t>j</t>
  </si>
  <si>
    <t>k</t>
  </si>
  <si>
    <t>l</t>
  </si>
  <si>
    <t>m</t>
  </si>
  <si>
    <t>n</t>
  </si>
  <si>
    <t>o</t>
  </si>
  <si>
    <t>p</t>
  </si>
  <si>
    <t>q</t>
  </si>
  <si>
    <t>r</t>
  </si>
  <si>
    <t>s</t>
  </si>
  <si>
    <t>u</t>
  </si>
  <si>
    <t>v</t>
  </si>
  <si>
    <t>w</t>
  </si>
  <si>
    <t>x</t>
  </si>
  <si>
    <t>♦</t>
  </si>
  <si>
    <t>Future</t>
  </si>
  <si>
    <t>◄ Correct entered dates.</t>
  </si>
  <si>
    <t>Last day must not be before first day.</t>
  </si>
  <si>
    <t>Implement.</t>
  </si>
  <si>
    <t>Minister of Word and Sacrament  (Ordained Teaching Elder)
Retired Minister of Word and Sacrament  
    (Post-Retirement service requires permission from the BOP)
Commissioned Lay Pastor 
Other Employee</t>
  </si>
  <si>
    <t>a.  Enter full name of employee here -- it will propogate to wherever else it is needed.</t>
  </si>
  <si>
    <t>b.  Enter Status:</t>
  </si>
  <si>
    <t>a.  Enter number of employing entities -- 1 if just a single church, 2-4 for yoked calls.</t>
  </si>
  <si>
    <t xml:space="preserve">b.-e.  Select name(s) of church(es) from drop-down list.  </t>
  </si>
  <si>
    <t>If employer is not correctly listed, go to the Church sheet and add at it at the 
bottom, then return to the Terms of Call sheet and select this added entry.</t>
  </si>
  <si>
    <t>a.  Enter the title for this position here.</t>
  </si>
  <si>
    <t>b.  Enter the Position Type:</t>
  </si>
  <si>
    <r>
      <t xml:space="preserve">c.  For eligible positions, Indicate whether the position is an </t>
    </r>
    <r>
      <rPr>
        <u/>
        <sz val="10"/>
        <rFont val="Arial"/>
        <family val="2"/>
      </rPr>
      <t>I</t>
    </r>
    <r>
      <rPr>
        <sz val="10"/>
        <rFont val="Arial"/>
        <family val="2"/>
      </rPr>
      <t xml:space="preserve">nstalled position or </t>
    </r>
    <r>
      <rPr>
        <u/>
        <sz val="10"/>
        <rFont val="Arial"/>
        <family val="2"/>
      </rPr>
      <t>N</t>
    </r>
    <r>
      <rPr>
        <sz val="10"/>
        <rFont val="Arial"/>
        <family val="2"/>
      </rPr>
      <t xml:space="preserve">ot.  </t>
    </r>
  </si>
  <si>
    <t xml:space="preserve">e.-f.  If for a partial year, report starting and ending dates.  </t>
  </si>
  <si>
    <t>b.  If eligible, indicating whether a Manse is provided or not,</t>
  </si>
  <si>
    <t xml:space="preserve">    This workbook does not evaluate eligibility for Manse or Housing Allowances 
under IRS rules.   If called position is not eligible, make no entries here, but 
include any housing provided in the Cash Salary.  </t>
  </si>
  <si>
    <t>d.-e.  If providing a Manse enter any Utilities and Furnishing allowances.</t>
  </si>
  <si>
    <t>A 50% church contribution is recommended, as the Board of Pensions exempts 
up to 50% from the BOP dues basis, but any church contribution above this 
level is subject to BOP dues. The church contribution to the SECA tax is itself
a part of the base on which the SECA tax is calculated.</t>
  </si>
  <si>
    <t>g. If offering Employer Matching to the Board of Pensions Retirement Savings Plan, 
    enter the maximum employer contribution allowed.  These employer matching 
    contributions are not subject to the Board of Pensions dues.</t>
  </si>
  <si>
    <t>h. Enter any non-matching employer payments to the BOP Retirement Savings Plan
    or to other 403(b) plans.  These are subject to BOP dues.</t>
  </si>
  <si>
    <t>Finance Committee</t>
  </si>
  <si>
    <t>i.  Enter any employer contributions to a Medical Supplement plan. 
   This cost is subject to BOP dues.
h. Enter any employer contributions to a Medical Supplement plan. 
   This cost is not subject to BOP dues.</t>
  </si>
  <si>
    <t>l.  Enter the cost of  any other employer paid benefits,  These are  subject to BOP dues.</t>
  </si>
  <si>
    <r>
      <rPr>
        <b/>
        <sz val="10"/>
        <rFont val="Arial"/>
        <family val="2"/>
      </rPr>
      <t>Deferred &amp; Other Compensation</t>
    </r>
    <r>
      <rPr>
        <sz val="10"/>
        <rFont val="Arial"/>
        <family val="2"/>
      </rPr>
      <t xml:space="preserve"> are employer-paid costs for benefits. 
Do NOT include the Board of Pension dues &amp; options, which will be entered later.</t>
    </r>
  </si>
  <si>
    <t xml:space="preserve">  6.  Board of Pensions Dues &amp; Options</t>
  </si>
  <si>
    <t xml:space="preserve">While completing this section, you will need information on what benefits your church
has offered in its Employer's Agreement with the Board of Pensions. See the section on HOW TO FIND INFORMATION AND COSTS below for further information.   </t>
  </si>
  <si>
    <t xml:space="preserve">The workbook will first determine the predefined BOP groujp for this employee, and you will then be asked for information on what is being offered to this group in your Employer's Agreement.  </t>
  </si>
  <si>
    <t>t</t>
  </si>
  <si>
    <t>5a</t>
  </si>
  <si>
    <t>5c</t>
  </si>
  <si>
    <t>5f</t>
  </si>
  <si>
    <t>6y</t>
  </si>
  <si>
    <t>5m</t>
  </si>
  <si>
    <t>5m+6y</t>
  </si>
  <si>
    <t>5m+
6y</t>
  </si>
  <si>
    <t>y</t>
  </si>
  <si>
    <t xml:space="preserve">x.  If optional for this employee, indicate whether the Supplemental Disability benefit 
    is being offered. Supplement disability is available only to those with Death and 
    Disability coverage and incomes above what is covered by that program.  
    The un-dertmined cost for this program is not included in the projected costs to
    the church or employee.   </t>
  </si>
  <si>
    <t xml:space="preserve">  8.  Yoked Call Accounting</t>
  </si>
  <si>
    <t xml:space="preserve">  9.  Approvals and Reporting</t>
  </si>
  <si>
    <t>d.  Verify  the expected hours per week,and enter if less than 40.</t>
  </si>
  <si>
    <t>A change made for 2014 is reversed for the year 2018:</t>
  </si>
  <si>
    <t>The term Commissioned Lay Pastor was changed to Commissioned Ruling Elder in 2014, 
and was changed back to Commissioned Lay Pastor in 2018 in both the Book of Order 
and in the Terms of Call workbooks.</t>
  </si>
  <si>
    <t>(unknown)</t>
  </si>
  <si>
    <t>Healthcare &amp; Dependent Care</t>
  </si>
  <si>
    <t>j.  The workbook will compute the total cost to the church of this call.</t>
  </si>
  <si>
    <t>h.-i.  Enter time allowances such as Continuing Education Leave and Vacation.</t>
  </si>
  <si>
    <t>7g</t>
  </si>
  <si>
    <t>7j</t>
  </si>
  <si>
    <t>Minister's Choice</t>
  </si>
  <si>
    <t>TD</t>
  </si>
  <si>
    <t xml:space="preserve">Defined Benefit Pension </t>
  </si>
  <si>
    <t xml:space="preserve">Death &amp; Disability </t>
  </si>
  <si>
    <t xml:space="preserve">Temporary Disability </t>
  </si>
  <si>
    <t>◄ Select option being offered</t>
  </si>
  <si>
    <t>Select Benefits Only Available</t>
  </si>
  <si>
    <t>Included</t>
  </si>
  <si>
    <t>(BOP Effective Salaray &lt;= $50,000)</t>
  </si>
  <si>
    <t>Limited Select Benefits Available</t>
  </si>
  <si>
    <t>Long-Term Disability</t>
  </si>
  <si>
    <t>LTD</t>
  </si>
  <si>
    <t>Salary</t>
  </si>
  <si>
    <t>Retiree's Participation</t>
  </si>
  <si>
    <t>LTD Message</t>
  </si>
  <si>
    <t>Not Available to this group</t>
  </si>
  <si>
    <t>Yes</t>
  </si>
  <si>
    <t>No</t>
  </si>
  <si>
    <t>No manse is provided. Enter Housing Allowance..</t>
  </si>
  <si>
    <r>
      <t xml:space="preserve">Church's share is applied separately to </t>
    </r>
    <r>
      <rPr>
        <b/>
        <sz val="10"/>
        <rFont val="Arial"/>
        <family val="2"/>
      </rPr>
      <t>each component part</t>
    </r>
    <r>
      <rPr>
        <sz val="10"/>
        <rFont val="Arial"/>
        <family val="2"/>
      </rPr>
      <t xml:space="preserve"> of this benefit cost.  </t>
    </r>
  </si>
  <si>
    <r>
      <t xml:space="preserve">Church's Share is appliied to the </t>
    </r>
    <r>
      <rPr>
        <b/>
        <sz val="10"/>
        <rFont val="Arial"/>
        <family val="2"/>
      </rPr>
      <t>Total Cost of the option selected</t>
    </r>
    <r>
      <rPr>
        <sz val="10"/>
        <rFont val="Arial"/>
        <family val="2"/>
      </rPr>
      <t xml:space="preserve"> by the employee. </t>
    </r>
  </si>
  <si>
    <t>Corrected Total Cost amounts may be entered here ▼</t>
  </si>
  <si>
    <t>Corrected</t>
  </si>
  <si>
    <t>A flaw was discovered and corrected in the 50% SECA calculation in the optional TOC Calculator tab.</t>
  </si>
  <si>
    <t xml:space="preserve">The status of the approval of this call is entered in this section and updated as progress occurs. A common procedure is for one or more individuals to prepare a DRAFT, the Personnel or Finance Committee to review the proposal and Recommend it to the Session.  For Installed Calls, the Session recommends the Terms of Call to the Congregation, and the Congregation Approves the Call.  Non-Installed Calls do NOT need Congregation action, and are normally Approved by the Session.   </t>
  </si>
  <si>
    <t>TE Message</t>
  </si>
  <si>
    <t>Offered - Church-Provided</t>
  </si>
  <si>
    <r>
      <t xml:space="preserve">◄ </t>
    </r>
    <r>
      <rPr>
        <b/>
        <u/>
        <sz val="10"/>
        <rFont val="Arial"/>
        <family val="2"/>
      </rPr>
      <t>C</t>
    </r>
    <r>
      <rPr>
        <sz val="10"/>
        <rFont val="Arial"/>
        <family val="2"/>
      </rPr>
      <t>hurch-Paid,</t>
    </r>
    <r>
      <rPr>
        <b/>
        <u/>
        <sz val="10"/>
        <rFont val="Arial"/>
        <family val="2"/>
      </rPr>
      <t>O</t>
    </r>
    <r>
      <rPr>
        <sz val="10"/>
        <rFont val="Arial"/>
        <family val="2"/>
      </rPr>
      <t xml:space="preserve">ffered  or </t>
    </r>
    <r>
      <rPr>
        <b/>
        <u/>
        <sz val="10"/>
        <rFont val="Arial"/>
        <family val="2"/>
      </rPr>
      <t>N</t>
    </r>
    <r>
      <rPr>
        <sz val="10"/>
        <rFont val="Arial"/>
        <family val="2"/>
      </rPr>
      <t>ot Offered</t>
    </r>
  </si>
  <si>
    <t>(In D&amp;D Coverage)</t>
  </si>
  <si>
    <t>Offered - Church Paid</t>
  </si>
  <si>
    <t>Offered - Minister-Paid</t>
  </si>
  <si>
    <t>Maximum Vision Eyeware  Costs ►</t>
  </si>
  <si>
    <t>Temporary Disability</t>
  </si>
  <si>
    <t>BOP Package Offered</t>
  </si>
  <si>
    <t>BOP Packages</t>
  </si>
  <si>
    <t xml:space="preserve">  Benefit Package: </t>
  </si>
  <si>
    <t>Benefit</t>
  </si>
  <si>
    <t>Pastor's
Participation</t>
  </si>
  <si>
    <t>Minister's
Choice</t>
  </si>
  <si>
    <t>Limited
Benefits</t>
  </si>
  <si>
    <t>Basis</t>
  </si>
  <si>
    <t>Post-Retirement Service</t>
  </si>
  <si>
    <t>Optional</t>
  </si>
  <si>
    <t>Medical -- PPO Family</t>
  </si>
  <si>
    <t>Package Total Rate</t>
  </si>
  <si>
    <t>(as selected)</t>
  </si>
  <si>
    <t>Medical -- MC or SB</t>
  </si>
  <si>
    <t>(see below)</t>
  </si>
  <si>
    <t>Coverage
Option</t>
  </si>
  <si>
    <t>PPO</t>
  </si>
  <si>
    <t>EPO</t>
  </si>
  <si>
    <t>HDHP</t>
  </si>
  <si>
    <t>DMO</t>
  </si>
  <si>
    <t>Dental Rates</t>
  </si>
  <si>
    <t>Available to all employees</t>
  </si>
  <si>
    <t>Vision Eyeware Rates</t>
  </si>
  <si>
    <t xml:space="preserve">These rates are the same for all employees. </t>
  </si>
  <si>
    <t>FSA Employeer's Fee</t>
  </si>
  <si>
    <t>Limited Benefits</t>
  </si>
  <si>
    <t>Retired
Pastor's
Service</t>
  </si>
  <si>
    <t>Available with Packages</t>
  </si>
  <si>
    <r>
      <t>These are</t>
    </r>
    <r>
      <rPr>
        <b/>
        <sz val="12"/>
        <rFont val="Arial"/>
        <family val="2"/>
      </rPr>
      <t xml:space="preserve"> Annual Rates</t>
    </r>
    <r>
      <rPr>
        <sz val="12"/>
        <rFont val="Arial"/>
        <family val="2"/>
      </rPr>
      <t xml:space="preserve"> for year </t>
    </r>
  </si>
  <si>
    <r>
      <rPr>
        <sz val="10"/>
        <rFont val="Arial"/>
        <family val="2"/>
      </rPr>
      <t xml:space="preserve">with </t>
    </r>
    <r>
      <rPr>
        <b/>
        <sz val="10"/>
        <rFont val="Arial"/>
        <family val="2"/>
      </rPr>
      <t>Minister's Choice</t>
    </r>
  </si>
  <si>
    <t>Medical Pastor's Participation</t>
  </si>
  <si>
    <t xml:space="preserve">This Terms of Call Workbook has nine worksheets. </t>
  </si>
  <si>
    <t>BOP Rates</t>
  </si>
  <si>
    <t xml:space="preserve">a.  Enter the Annual Cash Salary.  Do not include housing allowance in this line.  </t>
  </si>
  <si>
    <t xml:space="preserve">c.  If a Manse is provided, enter fair rental value of the property plus any provided utilities. 
    The Board of Pensions requires that the value of the manse be at least 30% of all other 
    compensation.  
    If no Manse is provided, enter the Housing Allowance. </t>
  </si>
  <si>
    <t xml:space="preserve">f.  Enter the percentage of the SECA tax that will be paid directly by the church. 
    If the Pastor is exempt from SECA Tax, enter E to claim this status.  </t>
  </si>
  <si>
    <r>
      <rPr>
        <sz val="10"/>
        <rFont val="Arial"/>
        <family val="2"/>
      </rPr>
      <t xml:space="preserve">m. </t>
    </r>
    <r>
      <rPr>
        <b/>
        <sz val="10"/>
        <rFont val="Arial"/>
        <family val="2"/>
      </rPr>
      <t xml:space="preserve">The Presbytery's EFFECTIVE SALARY </t>
    </r>
    <r>
      <rPr>
        <sz val="10"/>
        <rFont val="Arial"/>
        <family val="2"/>
      </rPr>
      <t xml:space="preserve">will now be calculated and compared with 
     the Presbytery's Compensation Guidelines.  The Board of Pensions Effective Salary 
     which is the basis of BOP Dues is also calculated.  Please note it is the </t>
    </r>
    <r>
      <rPr>
        <b/>
        <sz val="10"/>
        <rFont val="Arial"/>
        <family val="2"/>
      </rPr>
      <t xml:space="preserve">BOP 
     Effective Salary </t>
    </r>
    <r>
      <rPr>
        <sz val="10"/>
        <rFont val="Arial"/>
        <family val="2"/>
      </rPr>
      <t xml:space="preserve">that should be reported to tbe Board of Pensions. </t>
    </r>
  </si>
  <si>
    <t xml:space="preserve">The Board of Pensions offers an extensive and growing varity of benefits.  Depending on the employee group, a benefit may be mandatory, optional, or prohibited. For some, the church (employer)  will be able to offer or not offfer an option, and may be able to set the portion of the cost to be covered by the church. Subsequent to the church's offering, the employee may elect which offered benefits to accept.  </t>
  </si>
  <si>
    <t>Of those needing entries, some will have choices such as Offered or Not offered, whereas
others will ask for the church's selection of options or levels to be offered or the church's  share of the cost of the option.</t>
  </si>
  <si>
    <r>
      <t xml:space="preserve">b.-e. For the Primary Program Components, indicate for any optional component whether 
    it is being </t>
    </r>
    <r>
      <rPr>
        <b/>
        <u/>
        <sz val="10"/>
        <rFont val="Arial"/>
        <family val="2"/>
      </rPr>
      <t>O</t>
    </r>
    <r>
      <rPr>
        <sz val="10"/>
        <rFont val="Arial"/>
        <family val="2"/>
      </rPr>
      <t xml:space="preserve">ffered or </t>
    </r>
    <r>
      <rPr>
        <b/>
        <u/>
        <sz val="10"/>
        <rFont val="Arial"/>
        <family val="2"/>
      </rPr>
      <t>N</t>
    </r>
    <r>
      <rPr>
        <sz val="10"/>
        <rFont val="Arial"/>
        <family val="2"/>
      </rPr>
      <t xml:space="preserve">ot Offered,  In Pastor's Participation or Minister's Choice calls, 
    most components  are required or not available.  The costs for these primary benefits
    are based on the BOP Effective Salary and are to be fully covered by the church 
   (employer).  </t>
    </r>
  </si>
  <si>
    <r>
      <t xml:space="preserve">v. Indicate which  Flexible Spending Accounts are being offered this employee group -- 
    </t>
    </r>
    <r>
      <rPr>
        <b/>
        <u/>
        <sz val="10"/>
        <rFont val="Arial"/>
        <family val="2"/>
      </rPr>
      <t>H</t>
    </r>
    <r>
      <rPr>
        <sz val="10"/>
        <rFont val="Arial"/>
        <family val="2"/>
      </rPr>
      <t xml:space="preserve">ealthcare, </t>
    </r>
    <r>
      <rPr>
        <b/>
        <u/>
        <sz val="10"/>
        <rFont val="Arial"/>
        <family val="2"/>
      </rPr>
      <t>D</t>
    </r>
    <r>
      <rPr>
        <sz val="10"/>
        <rFont val="Arial"/>
        <family val="2"/>
      </rPr>
      <t xml:space="preserve">ependent care, </t>
    </r>
    <r>
      <rPr>
        <b/>
        <u/>
        <sz val="10"/>
        <rFont val="Arial"/>
        <family val="2"/>
      </rPr>
      <t>B</t>
    </r>
    <r>
      <rPr>
        <sz val="10"/>
        <rFont val="Arial"/>
        <family val="2"/>
      </rPr>
      <t xml:space="preserve">oth, or </t>
    </r>
    <r>
      <rPr>
        <b/>
        <u/>
        <sz val="10"/>
        <rFont val="Arial"/>
        <family val="2"/>
      </rPr>
      <t>N</t>
    </r>
    <r>
      <rPr>
        <sz val="10"/>
        <rFont val="Arial"/>
        <family val="2"/>
      </rPr>
      <t>ot offered.  Each employee selects the 
    amount to be withheld for the account(s), and the employer pays a single fixed  
    administrative fee covering either or both accounts.</t>
    </r>
  </si>
  <si>
    <t>The information on your church's Employer's Agreement, including the costs of the options that vary with employer are available to only authorized persons from your church.  You may need the assistance of the individual in your church who has been designated as your Employer Representative.</t>
  </si>
  <si>
    <t xml:space="preserve">This section divides the total cost among the churches in a yoked call.  
For single-church calls, no inputs are needed, and this section may be ignorerd. </t>
  </si>
  <si>
    <t xml:space="preserve">a.  If a manse is provided, identify which church provides it. </t>
  </si>
  <si>
    <t>b.-e. Report the each church's share of the costs. You may use any convenient 'unit' 
    that is agreed upon by the yoked churches, so long as the same unit is used for 
    each church.  The cost for each church will be calculated.</t>
  </si>
  <si>
    <t xml:space="preserve">The workook had been revised to reflect the changes in the Board of Pensions benefits for 2021, including the addition of the Minister's Choice package, and the replacement of the Menu Options with Selected Options, and many changes in eligibility rules  for many benefits.   </t>
  </si>
  <si>
    <t xml:space="preserve">The ability to correct the costs for Medicat Select benefits to reflect local variations has been extended to the Dental benefits, to support the employer option to offer alternative programs.  The ability to selecxt the different programs in each of these is now supported. </t>
  </si>
  <si>
    <t>Some  updates to the underlying structure of the Terms of Call tab were made to simplify future maintenance.</t>
  </si>
  <si>
    <t>Group Term Life</t>
  </si>
  <si>
    <t>Miscellaneous Rates</t>
  </si>
  <si>
    <t>Group Term Life Rate</t>
  </si>
  <si>
    <t>None</t>
  </si>
  <si>
    <t>Westminster Presbyterian Church</t>
  </si>
  <si>
    <t>Group Term Life Insur.</t>
  </si>
  <si>
    <t>Changes made for 2021 are retained:</t>
  </si>
  <si>
    <t>This worksheet, added in 2021, has the inputs from the Board of Pensions.</t>
  </si>
  <si>
    <t xml:space="preserve">From the list near the bottom of the home page, select 2022 Submitted Agreement. The Summary of the agreement will show which options have been offered to each group of employees and the percentages of the costs that will be paid by the church.  A printout of this summary report may be useful. The total costs, however, are aggregated for all employess in a group.  </t>
  </si>
  <si>
    <t xml:space="preserve">You will NOT be able to change what you offer, as the Employher Agreement period ended on October 8th.  They are locked at the last agreement submitted by that date. If you did not submit an agreement by the deadline, the Board of Pensions may have submitted on your behalf your 2021 agreement with costs updated for 2022.  </t>
  </si>
  <si>
    <t>Defined Benefit Pension</t>
  </si>
  <si>
    <t>Selected
Benfits</t>
  </si>
  <si>
    <t>Annual Rate</t>
  </si>
  <si>
    <t>Employee Assist. Progm</t>
  </si>
  <si>
    <t>Employer
Share</t>
  </si>
  <si>
    <t>50 - 100%</t>
  </si>
  <si>
    <t>0 - 100%</t>
  </si>
  <si>
    <t>Level 4 Minimum</t>
  </si>
  <si>
    <t>Package Offering Component Rates</t>
  </si>
  <si>
    <t>Medical - Minister's Choice or Selected Benefits Rates</t>
  </si>
  <si>
    <t>Without Package</t>
  </si>
  <si>
    <t>in MC Med</t>
  </si>
  <si>
    <r>
      <rPr>
        <sz val="10"/>
        <rFont val="Arial"/>
        <family val="2"/>
      </rPr>
      <t>with</t>
    </r>
    <r>
      <rPr>
        <b/>
        <sz val="10"/>
        <rFont val="Arial"/>
        <family val="2"/>
      </rPr>
      <t xml:space="preserve"> Selected Benefits</t>
    </r>
  </si>
  <si>
    <t>Selected Benefits</t>
  </si>
  <si>
    <t>With  Package DBP</t>
  </si>
  <si>
    <t>Without Package DBP</t>
  </si>
  <si>
    <r>
      <t xml:space="preserve">Flexible Spending Account Options - </t>
    </r>
    <r>
      <rPr>
        <b/>
        <sz val="10"/>
        <color rgb="FF00B0F0"/>
        <rFont val="Arial"/>
        <family val="2"/>
      </rPr>
      <t>FLEX_OPTS</t>
    </r>
  </si>
  <si>
    <r>
      <t xml:space="preserve">Benefits Groups -- </t>
    </r>
    <r>
      <rPr>
        <b/>
        <sz val="10"/>
        <color rgb="FF00B0F0"/>
        <rFont val="Arial"/>
        <family val="2"/>
      </rPr>
      <t>BEN_TABLE</t>
    </r>
  </si>
  <si>
    <r>
      <t xml:space="preserve">Death &amp; Disability Options - </t>
    </r>
    <r>
      <rPr>
        <b/>
        <sz val="8"/>
        <color rgb="FF00B0F0"/>
        <rFont val="Arial"/>
        <family val="2"/>
      </rPr>
      <t>DD_TABLE</t>
    </r>
  </si>
  <si>
    <t>AD_LIST</t>
  </si>
  <si>
    <t>LOCAL_CHURCHES</t>
  </si>
  <si>
    <r>
      <t xml:space="preserve">Line in COMP table -- </t>
    </r>
    <r>
      <rPr>
        <sz val="10"/>
        <color rgb="FF00B0F0"/>
        <rFont val="Arial"/>
        <family val="2"/>
      </rPr>
      <t>COMP__LINE</t>
    </r>
  </si>
  <si>
    <r>
      <t xml:space="preserve">PositionType - </t>
    </r>
    <r>
      <rPr>
        <b/>
        <sz val="10"/>
        <color rgb="FF00B0F0"/>
        <rFont val="Arial"/>
        <family val="2"/>
      </rPr>
      <t>PTYPE_TABLE</t>
    </r>
  </si>
  <si>
    <r>
      <t xml:space="preserve">BOP Packages - </t>
    </r>
    <r>
      <rPr>
        <b/>
        <sz val="10"/>
        <color rgb="FF00B0F0"/>
        <rFont val="Arial"/>
        <family val="2"/>
      </rPr>
      <t>BOP_PKG</t>
    </r>
  </si>
  <si>
    <t xml:space="preserve">Medical rates vary from church to church depending on local costs.
These are typical rates from last year, to give a cost approximation.
You will need to verify YOUR rates with the Board of Pensions.  </t>
  </si>
  <si>
    <t xml:space="preserve">Updates to the underlying structure of the Terms of Call tab have been made to simplify future maintenance.Included in this is the moving of the source of most BOP rates from the Comensation Guidelines tab to the BOP Rates tab. A few cosetic flaws have been discovered and corrected. </t>
  </si>
  <si>
    <t xml:space="preserve">(No inputs are required here.  The required or recommend compensation for this call will 
be calculated and displayed when once entries have been made in sections 1 through 3.)  </t>
  </si>
  <si>
    <t xml:space="preserve">j.  Enter any employer contributions to a Health Reimbursement Account. 
   This cost is not subject to BOP dues.
</t>
  </si>
  <si>
    <t>g.-j.  For each component enter percentage of the component's cost to be provided by 
    the church (employer). If this benefit is offered, the church is required to cover at 
    least 50% the Member coverage for the lowest cost program, and may cover any 
    portion of the other coverages that may be accepted. Each percentage of support 
    applies to that  component.  If offering more than one program choice, Find the 
    required minimum  (50% of the member-only rater for the lowest offered program),
    and then calculate what percentage this is of the member-only rate of the highest 
    cost offered program, and enter this percentage on line g. The validity check will 
    allow an entry below 50% to accommodate this situation.</t>
  </si>
  <si>
    <r>
      <t xml:space="preserve">a.  If more than one benefit package  may be offered, select by entering the first letter 
     whether you will be offering
          </t>
    </r>
    <r>
      <rPr>
        <b/>
        <u/>
        <sz val="10"/>
        <rFont val="Arial"/>
        <family val="2"/>
      </rPr>
      <t>P</t>
    </r>
    <r>
      <rPr>
        <sz val="10"/>
        <rFont val="Arial"/>
        <family val="2"/>
      </rPr>
      <t xml:space="preserve">astor's Participation, 
          </t>
    </r>
    <r>
      <rPr>
        <b/>
        <u/>
        <sz val="10"/>
        <rFont val="Arial"/>
        <family val="2"/>
      </rPr>
      <t>M</t>
    </r>
    <r>
      <rPr>
        <sz val="10"/>
        <rFont val="Arial"/>
        <family val="2"/>
      </rPr>
      <t xml:space="preserve">inister's Choice, or  
          </t>
    </r>
    <r>
      <rPr>
        <b/>
        <u/>
        <sz val="10"/>
        <rFont val="Arial"/>
        <family val="2"/>
      </rPr>
      <t>S</t>
    </r>
    <r>
      <rPr>
        <sz val="10"/>
        <rFont val="Arial"/>
        <family val="2"/>
      </rPr>
      <t xml:space="preserve">elected Options.  
     For some groups, one package may be mandatory or none may be allowed.   </t>
    </r>
  </si>
  <si>
    <t xml:space="preserve">f.  This line accepts input only with the Minister's Choice Package or Selected Benefits. 
    Indicate which program - PPO, EPO, HDHP, or None) is being offered. If offering more 
    than one program choice, report here the highest cost program offrered, to correctly  
    report the church's maximum cost. If you are not offering this coverage, skip lines g.-j.
</t>
  </si>
  <si>
    <r>
      <t xml:space="preserve">    For Selected Medical benefits, costs vary regionally with employer and with which 
    coverage program (PPO, EPO, HDHP) is selected. The values shown initially in the  
    workbook are typical for PPO coverage based on the previous year, in order to provide 
    a ball-park estimate. The Cost for your church will likely differ from this. The correct 
    costs for YOUR church and its selected coverage should be obtained from your 
    church's Board of Pensions Employer Agreement. Enter the correct Total Cost values 
    for each offered component in the </t>
    </r>
    <r>
      <rPr>
        <b/>
        <sz val="10"/>
        <rFont val="Arial"/>
        <family val="2"/>
      </rPr>
      <t>Corrected Total Cost</t>
    </r>
    <r>
      <rPr>
        <sz val="10"/>
        <rFont val="Arial"/>
        <family val="2"/>
      </rPr>
      <t xml:space="preserve"> column, and these corrected 
    costs will be used. This needs to be done only if Medical coverage is being offered 
    under Ministrer's choice or Selected Benefits. 
    For those with the Pastor Participation package, the medical costs are based on 
    Effective Salary, and will not need this correction.</t>
    </r>
  </si>
  <si>
    <t xml:space="preserve">k.-o.  The Dental Options may be offered with or without a benefit package.  Indicate the 
    highest-cost program being offered (PPO, DMO or None), and for each coverage, the 
    percentage of premium to be paid by the church (employer).  The percentages here 
    apply to each total coverage choice. </t>
  </si>
  <si>
    <t xml:space="preserve">p.-t.  The  Vision Eyeware Options may be offered with or without a benefit package. 
    Indicate whether it is being offered, and for each coverage, the percentage of premium 
    to be paid by the church (employer). The percentages here apply to each total 
    program. The Vision Eyeware costs are the sane for all churches. </t>
  </si>
  <si>
    <t xml:space="preserve">u.  Group Term Life Insurance may be offered to employees NOT having the Death &amp; 
    Disability coverage who are working at least 20 hours per week. Your Employer's 
    Agreement defines the level of coverage offered, which may be a selected amount or 
    the salary-based option of Effective Salary up to $50,000.  The cost of this coverage 
    is paid by the church (employer). </t>
  </si>
  <si>
    <r>
      <t xml:space="preserve">w.  If optional for this employee, indicate whether  Supplemental Death benefits 
    are being offered. The church may pay a portion of the cost for Supplemental Death, 
    but the level of coverage is determined by the employee, so the costs canot be 
    determined by this workbook.  The un-dertmined cost for this program is </t>
    </r>
    <r>
      <rPr>
        <u/>
        <sz val="10"/>
        <rFont val="Arial"/>
        <family val="2"/>
      </rPr>
      <t>not</t>
    </r>
    <r>
      <rPr>
        <sz val="10"/>
        <rFont val="Arial"/>
        <family val="2"/>
      </rPr>
      <t xml:space="preserve"> included  
    in the projected costs to the church or employee.   </t>
    </r>
  </si>
  <si>
    <t>This Terms of Call sheet can be printed for use in developing and understanding proposed Terms of Call, but it is not used for reporting.  Separate report worksheets (Report1 for single-church calls, and Report2 for multi-church yoked calls) provide a more concise report.  When sufficient for review, and for reporting to the Presbytery, the appropriate report worksheet should be printed.</t>
  </si>
  <si>
    <t xml:space="preserve">A report to the Presbytery is required for only calls to Ministers of Word and Sacrament or Commissioned Lay Pastors.  A printout of the appropriate report sheet, singned to show approvals by both the church(es) and Pastor, should be submitted to the Presbytery Office by its deadline, for review and approval by the Commission on Ministry.  If it is not possible to have full approval by the deadline, a version showing a status of Recommended should be submitted by the deadline, and the Approved and signed version submitted as soon as possible. </t>
  </si>
  <si>
    <t xml:space="preserve">a.-e.  Enter allowances for job-related expenses such as travel, professional expenses,    
    and continuing education.  The reimbursement of these expenses must be based on 
    vouchers, or the amount paid will be subject to income tax..  </t>
  </si>
  <si>
    <t>k. If a Manse is provied, enter any employer contributions to a Equity Escrow Account. 
   Equity Escrow is allowed only for those living in a church-provided manse. This cost is 
   subject to BOP dues.</t>
  </si>
  <si>
    <t>Medical Selected Benefits</t>
  </si>
  <si>
    <t>Limited Selected Benefits</t>
  </si>
  <si>
    <t>A flaw was discovered and corrected in the BOP Dues calculation in the optional TOC Calculator tab.</t>
  </si>
  <si>
    <t xml:space="preserve">PPO Dental Rates vary from church to church. 
You will need to verify YOUR rates with the Board of Pensions. </t>
  </si>
  <si>
    <t>Changes made for 2022 are retained:</t>
  </si>
  <si>
    <t>Changes made for 2023:</t>
  </si>
  <si>
    <t>The Compensation Guidelines have been evaluated by the Presbytery to reflect the cost of living and to provide better agreement with those of other Presbyteries.  For 2023, the compensation for each Church levelswas increased by 3%.</t>
  </si>
  <si>
    <t xml:space="preserve">No changes in the structure were needed in 2023, only the routine changes in BOP rates, the Presbytery's Compensation Guidelines, and the pror year worship attendance. </t>
  </si>
  <si>
    <t>11-30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</si>
</sst>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8" formatCode="&quot;$&quot;#,##0.00_);[Red]\(&quot;$&quot;#,##0.00\)"/>
    <numFmt numFmtId="44" formatCode="_(&quot;$&quot;* #,##0.00_);_(&quot;$&quot;* \(#,##0.00\);_(&quot;$&quot;* &quot;-&quot;??_);_(@_)"/>
    <numFmt numFmtId="164" formatCode="_(&quot;$&quot;* #,##0_);_(&quot;$&quot;* \(#,##0\);_(&quot;$&quot;* &quot;-&quot;??_);_(@_)"/>
    <numFmt numFmtId="165" formatCode="_(&quot;$&quot;* #,##0.00_);_(&quot;$&quot;* \(#,##0.00\);_(* &quot;-&quot;??_);_(@_)"/>
    <numFmt numFmtId="166" formatCode="0.0%"/>
    <numFmt numFmtId="167" formatCode="0.000%"/>
    <numFmt numFmtId="168" formatCode="0.0000%"/>
    <numFmt numFmtId="169" formatCode="&quot;$&quot;#,##0.00"/>
    <numFmt numFmtId="170" formatCode="&quot;$&quot;#,##0"/>
    <numFmt numFmtId="171" formatCode="ddd\ m/d/yyyy"/>
    <numFmt numFmtId="172" formatCode=";;;@"/>
    <numFmt numFmtId="173" formatCode="0.0"/>
    <numFmt numFmtId="174" formatCode="0.\)"/>
    <numFmt numFmtId="175" formatCode="\ m/d"/>
    <numFmt numFmtId="176" formatCode="m/d;@"/>
    <numFmt numFmtId="177" formatCode="ddd\,\ mmm\ dd\,\ yyyy"/>
  </numFmts>
  <fonts count="34" x14ac:knownFonts="1">
    <font>
      <sz val="10"/>
      <name val="Arial"/>
    </font>
    <font>
      <sz val="10"/>
      <name val="Arial"/>
      <family val="2"/>
    </font>
    <font>
      <u/>
      <sz val="10"/>
      <color indexed="12"/>
      <name val="Arial"/>
      <family val="2"/>
    </font>
    <font>
      <b/>
      <sz val="11"/>
      <name val="Arial"/>
      <family val="2"/>
    </font>
    <font>
      <b/>
      <sz val="10"/>
      <name val="Arial"/>
      <family val="2"/>
    </font>
    <font>
      <sz val="10"/>
      <name val="Arial"/>
      <family val="2"/>
    </font>
    <font>
      <b/>
      <sz val="10"/>
      <color indexed="10"/>
      <name val="Arial"/>
      <family val="2"/>
    </font>
    <font>
      <sz val="8"/>
      <name val="Arial"/>
      <family val="2"/>
    </font>
    <font>
      <b/>
      <sz val="12"/>
      <name val="Arial"/>
      <family val="2"/>
    </font>
    <font>
      <u/>
      <sz val="10"/>
      <name val="Arial"/>
      <family val="2"/>
    </font>
    <font>
      <sz val="14"/>
      <name val="Arial"/>
      <family val="2"/>
    </font>
    <font>
      <b/>
      <sz val="14"/>
      <name val="Arial"/>
      <family val="2"/>
    </font>
    <font>
      <b/>
      <sz val="10"/>
      <color indexed="12"/>
      <name val="Arial"/>
      <family val="2"/>
    </font>
    <font>
      <b/>
      <sz val="10"/>
      <color rgb="FFFF0000"/>
      <name val="Arial"/>
      <family val="2"/>
    </font>
    <font>
      <sz val="10"/>
      <color rgb="FFFF0000"/>
      <name val="Arial"/>
      <family val="2"/>
    </font>
    <font>
      <b/>
      <sz val="11"/>
      <color rgb="FF0000FF"/>
      <name val="Arial"/>
      <family val="2"/>
    </font>
    <font>
      <sz val="11"/>
      <name val="Arial"/>
      <family val="2"/>
    </font>
    <font>
      <sz val="12"/>
      <name val="Arial"/>
      <family val="2"/>
    </font>
    <font>
      <b/>
      <sz val="11"/>
      <color rgb="FFFF0000"/>
      <name val="Arial"/>
      <family val="2"/>
    </font>
    <font>
      <b/>
      <sz val="12"/>
      <color rgb="FFFF0000"/>
      <name val="Arial"/>
      <family val="2"/>
    </font>
    <font>
      <b/>
      <sz val="9"/>
      <name val="Arial"/>
      <family val="2"/>
    </font>
    <font>
      <sz val="10"/>
      <color rgb="FF808080"/>
      <name val="Arial"/>
      <family val="2"/>
    </font>
    <font>
      <b/>
      <u/>
      <sz val="10"/>
      <name val="Arial"/>
      <family val="2"/>
    </font>
    <font>
      <sz val="10"/>
      <color rgb="FFFFFF00"/>
      <name val="Arial"/>
      <family val="2"/>
    </font>
    <font>
      <b/>
      <sz val="8"/>
      <name val="Arial"/>
      <family val="2"/>
    </font>
    <font>
      <sz val="9"/>
      <name val="Arial"/>
      <family val="2"/>
    </font>
    <font>
      <sz val="10"/>
      <color theme="0" tint="-0.24994659260841701"/>
      <name val="Arial"/>
      <family val="2"/>
    </font>
    <font>
      <b/>
      <sz val="10"/>
      <color theme="0" tint="-0.14999847407452621"/>
      <name val="Arial"/>
      <family val="2"/>
    </font>
    <font>
      <sz val="10"/>
      <color theme="0" tint="-0.14999847407452621"/>
      <name val="Arial"/>
      <family val="2"/>
    </font>
    <font>
      <b/>
      <sz val="11"/>
      <color rgb="FFFFFF99"/>
      <name val="Arial"/>
      <family val="2"/>
    </font>
    <font>
      <b/>
      <sz val="10"/>
      <color rgb="FFC00000"/>
      <name val="Arial"/>
      <family val="2"/>
    </font>
    <font>
      <b/>
      <sz val="10"/>
      <color rgb="FF00B0F0"/>
      <name val="Arial"/>
      <family val="2"/>
    </font>
    <font>
      <b/>
      <sz val="8"/>
      <color rgb="FF00B0F0"/>
      <name val="Arial"/>
      <family val="2"/>
    </font>
    <font>
      <sz val="10"/>
      <color rgb="FF00B0F0"/>
      <name val="Arial"/>
      <family val="2"/>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0"/>
        <bgColor indexed="64"/>
      </patternFill>
    </fill>
    <fill>
      <patternFill patternType="solid">
        <fgColor indexed="26"/>
        <bgColor indexed="64"/>
      </patternFill>
    </fill>
    <fill>
      <patternFill patternType="solid">
        <fgColor rgb="FF00FF00"/>
        <bgColor indexed="64"/>
      </patternFill>
    </fill>
    <fill>
      <patternFill patternType="solid">
        <fgColor theme="0" tint="-0.249977111117893"/>
        <bgColor indexed="64"/>
      </patternFill>
    </fill>
    <fill>
      <patternFill patternType="solid">
        <fgColor rgb="FF00FF00"/>
        <bgColor rgb="FF000000"/>
      </patternFill>
    </fill>
    <fill>
      <patternFill patternType="solid">
        <fgColor rgb="FFFF0000"/>
        <bgColor indexed="64"/>
      </patternFill>
    </fill>
    <fill>
      <patternFill patternType="solid">
        <fgColor rgb="FFFFFF00"/>
        <bgColor indexed="64"/>
      </patternFill>
    </fill>
    <fill>
      <patternFill patternType="solid">
        <fgColor rgb="FF00FFFF"/>
        <bgColor indexed="64"/>
      </patternFill>
    </fill>
    <fill>
      <patternFill patternType="solid">
        <fgColor rgb="FFC0C0C0"/>
        <bgColor indexed="64"/>
      </patternFill>
    </fill>
    <fill>
      <patternFill patternType="solid">
        <fgColor rgb="FFFFC0C0"/>
        <bgColor indexed="64"/>
      </patternFill>
    </fill>
    <fill>
      <patternFill patternType="solid">
        <fgColor rgb="FF66FF66"/>
        <bgColor indexed="64"/>
      </patternFill>
    </fill>
    <fill>
      <patternFill patternType="solid">
        <fgColor rgb="FFFFFFCC"/>
        <bgColor indexed="64"/>
      </patternFill>
    </fill>
    <fill>
      <patternFill patternType="solid">
        <fgColor rgb="FFCCFF99"/>
        <bgColor indexed="64"/>
      </patternFill>
    </fill>
    <fill>
      <patternFill patternType="solid">
        <fgColor theme="8" tint="0.79998168889431442"/>
        <bgColor indexed="64"/>
      </patternFill>
    </fill>
  </fills>
  <borders count="8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double">
        <color indexed="12"/>
      </left>
      <right/>
      <top style="double">
        <color indexed="12"/>
      </top>
      <bottom/>
      <diagonal/>
    </border>
    <border>
      <left/>
      <right style="double">
        <color indexed="12"/>
      </right>
      <top style="double">
        <color indexed="12"/>
      </top>
      <bottom/>
      <diagonal/>
    </border>
    <border>
      <left style="medium">
        <color indexed="64"/>
      </left>
      <right/>
      <top style="medium">
        <color indexed="64"/>
      </top>
      <bottom style="thin">
        <color indexed="64"/>
      </bottom>
      <diagonal/>
    </border>
    <border>
      <left/>
      <right/>
      <top style="double">
        <color indexed="12"/>
      </top>
      <bottom/>
      <diagonal/>
    </border>
    <border>
      <left style="double">
        <color indexed="12"/>
      </left>
      <right/>
      <top style="double">
        <color indexed="12"/>
      </top>
      <bottom style="double">
        <color indexed="12"/>
      </bottom>
      <diagonal/>
    </border>
    <border>
      <left/>
      <right/>
      <top style="double">
        <color indexed="12"/>
      </top>
      <bottom style="double">
        <color indexed="12"/>
      </bottom>
      <diagonal/>
    </border>
    <border>
      <left/>
      <right style="double">
        <color indexed="12"/>
      </right>
      <top style="double">
        <color indexed="12"/>
      </top>
      <bottom style="double">
        <color indexed="12"/>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rgb="FFFF0000"/>
      </left>
      <right/>
      <top style="thin">
        <color rgb="FFFF0000"/>
      </top>
      <bottom/>
      <diagonal/>
    </border>
    <border>
      <left/>
      <right/>
      <top style="thin">
        <color rgb="FFFF0000"/>
      </top>
      <bottom/>
      <diagonal/>
    </border>
    <border>
      <left style="thin">
        <color rgb="FFFF0000"/>
      </left>
      <right/>
      <top/>
      <bottom style="thin">
        <color rgb="FFFF0000"/>
      </bottom>
      <diagonal/>
    </border>
    <border>
      <left/>
      <right/>
      <top/>
      <bottom style="thin">
        <color rgb="FFFF0000"/>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903">
    <xf numFmtId="0" fontId="0" fillId="0" borderId="0" xfId="0"/>
    <xf numFmtId="0" fontId="4" fillId="0" borderId="0" xfId="0" applyFont="1" applyAlignment="1">
      <alignment horizontal="right"/>
    </xf>
    <xf numFmtId="0" fontId="0" fillId="2" borderId="0" xfId="0" applyFill="1"/>
    <xf numFmtId="0" fontId="0" fillId="2" borderId="0" xfId="0" applyFill="1" applyAlignment="1">
      <alignment vertical="center"/>
    </xf>
    <xf numFmtId="0" fontId="0" fillId="0" borderId="0" xfId="0" applyAlignment="1">
      <alignment vertical="center"/>
    </xf>
    <xf numFmtId="0" fontId="4" fillId="2" borderId="0" xfId="0" applyFont="1" applyFill="1" applyAlignment="1">
      <alignment horizontal="left"/>
    </xf>
    <xf numFmtId="0" fontId="4" fillId="0" borderId="0" xfId="0" applyFont="1"/>
    <xf numFmtId="0" fontId="0" fillId="0" borderId="0" xfId="0" applyAlignment="1">
      <alignment horizontal="center"/>
    </xf>
    <xf numFmtId="0" fontId="0" fillId="3" borderId="11" xfId="0" applyFill="1" applyBorder="1" applyAlignment="1">
      <alignment horizontal="center"/>
    </xf>
    <xf numFmtId="0" fontId="0" fillId="3" borderId="12" xfId="0" applyFill="1" applyBorder="1"/>
    <xf numFmtId="0" fontId="0" fillId="3" borderId="13" xfId="0" applyFill="1" applyBorder="1" applyAlignment="1">
      <alignment horizontal="center"/>
    </xf>
    <xf numFmtId="0" fontId="0" fillId="3" borderId="14" xfId="0" applyFill="1" applyBorder="1" applyAlignment="1">
      <alignment horizontal="left"/>
    </xf>
    <xf numFmtId="165" fontId="5" fillId="3" borderId="3" xfId="1" applyNumberFormat="1" applyFont="1" applyFill="1" applyBorder="1" applyProtection="1"/>
    <xf numFmtId="165" fontId="5" fillId="3" borderId="8" xfId="1" applyNumberFormat="1" applyFont="1" applyFill="1" applyBorder="1" applyProtection="1"/>
    <xf numFmtId="0" fontId="0" fillId="3" borderId="15" xfId="0" applyFill="1" applyBorder="1" applyAlignment="1">
      <alignment horizontal="center"/>
    </xf>
    <xf numFmtId="0" fontId="0" fillId="3" borderId="16" xfId="0" applyFill="1" applyBorder="1"/>
    <xf numFmtId="0" fontId="0" fillId="3" borderId="17" xfId="0" applyFill="1" applyBorder="1" applyAlignment="1">
      <alignment horizontal="center"/>
    </xf>
    <xf numFmtId="165" fontId="5" fillId="3" borderId="9" xfId="1" applyNumberFormat="1" applyFont="1" applyFill="1" applyBorder="1" applyProtection="1"/>
    <xf numFmtId="165" fontId="5" fillId="3" borderId="10" xfId="1" applyNumberFormat="1" applyFont="1" applyFill="1" applyBorder="1" applyProtection="1"/>
    <xf numFmtId="0" fontId="5" fillId="2" borderId="0" xfId="0" applyFont="1" applyFill="1" applyAlignment="1">
      <alignment horizontal="center"/>
    </xf>
    <xf numFmtId="0" fontId="5" fillId="2" borderId="0" xfId="0" applyFont="1" applyFill="1"/>
    <xf numFmtId="0" fontId="0" fillId="4" borderId="11" xfId="0" applyFill="1" applyBorder="1" applyAlignment="1">
      <alignment vertical="center"/>
    </xf>
    <xf numFmtId="0" fontId="0" fillId="4" borderId="11" xfId="0" applyFill="1" applyBorder="1"/>
    <xf numFmtId="0" fontId="4" fillId="4" borderId="18" xfId="0" applyFont="1" applyFill="1" applyBorder="1"/>
    <xf numFmtId="0" fontId="5" fillId="4" borderId="19" xfId="0" applyFont="1" applyFill="1" applyBorder="1"/>
    <xf numFmtId="0" fontId="4" fillId="2" borderId="0" xfId="0" applyFont="1" applyFill="1"/>
    <xf numFmtId="0" fontId="5" fillId="0" borderId="0" xfId="0" applyFont="1"/>
    <xf numFmtId="0" fontId="10" fillId="2" borderId="0" xfId="0" applyFont="1" applyFill="1"/>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Alignment="1">
      <alignment vertical="center"/>
    </xf>
    <xf numFmtId="0" fontId="4" fillId="0" borderId="20" xfId="0" applyFont="1" applyBorder="1" applyAlignment="1">
      <alignment horizontal="left" indent="1"/>
    </xf>
    <xf numFmtId="0" fontId="4" fillId="0" borderId="11" xfId="0" applyFont="1" applyBorder="1"/>
    <xf numFmtId="0" fontId="4" fillId="0" borderId="21" xfId="0" applyFont="1" applyBorder="1" applyAlignment="1">
      <alignment horizontal="left" indent="1"/>
    </xf>
    <xf numFmtId="44" fontId="5" fillId="0" borderId="22" xfId="0" applyNumberFormat="1" applyFont="1" applyBorder="1"/>
    <xf numFmtId="0" fontId="4" fillId="0" borderId="15" xfId="0" applyFont="1" applyBorder="1"/>
    <xf numFmtId="0" fontId="4" fillId="0" borderId="23" xfId="0" applyFont="1" applyBorder="1" applyAlignment="1">
      <alignment horizontal="left" indent="1"/>
    </xf>
    <xf numFmtId="0" fontId="5" fillId="2" borderId="0" xfId="0" applyFont="1" applyFill="1" applyAlignment="1">
      <alignment horizontal="left" vertical="top" wrapText="1"/>
    </xf>
    <xf numFmtId="0" fontId="5" fillId="0" borderId="0" xfId="0" applyFont="1" applyAlignment="1">
      <alignment horizontal="center"/>
    </xf>
    <xf numFmtId="167" fontId="5" fillId="2" borderId="0" xfId="0" applyNumberFormat="1" applyFont="1" applyFill="1"/>
    <xf numFmtId="0" fontId="4" fillId="2" borderId="0" xfId="0" applyFont="1" applyFill="1" applyAlignment="1">
      <alignment horizontal="center" vertical="center" wrapText="1"/>
    </xf>
    <xf numFmtId="44" fontId="4" fillId="0" borderId="24" xfId="0" applyNumberFormat="1" applyFont="1" applyBorder="1"/>
    <xf numFmtId="44" fontId="4" fillId="0" borderId="22" xfId="0" applyNumberFormat="1" applyFont="1" applyBorder="1"/>
    <xf numFmtId="44" fontId="4" fillId="0" borderId="25" xfId="0" applyNumberFormat="1" applyFont="1" applyBorder="1"/>
    <xf numFmtId="0" fontId="5" fillId="0" borderId="21" xfId="0" applyFont="1" applyBorder="1"/>
    <xf numFmtId="0" fontId="5" fillId="0" borderId="21" xfId="0" applyFont="1" applyBorder="1" applyAlignment="1">
      <alignment horizontal="left"/>
    </xf>
    <xf numFmtId="10" fontId="5" fillId="0" borderId="3" xfId="3" applyNumberFormat="1" applyFont="1" applyFill="1" applyBorder="1"/>
    <xf numFmtId="10" fontId="5" fillId="0" borderId="8" xfId="3" applyNumberFormat="1" applyFont="1" applyFill="1" applyBorder="1"/>
    <xf numFmtId="10" fontId="4" fillId="0" borderId="3" xfId="3" applyNumberFormat="1" applyFont="1" applyFill="1" applyBorder="1"/>
    <xf numFmtId="10" fontId="4" fillId="0" borderId="8" xfId="3" applyNumberFormat="1" applyFont="1" applyFill="1" applyBorder="1"/>
    <xf numFmtId="0" fontId="4" fillId="0" borderId="18" xfId="0" applyFont="1" applyBorder="1" applyAlignment="1">
      <alignment horizontal="left" vertical="center"/>
    </xf>
    <xf numFmtId="0" fontId="4" fillId="0" borderId="26" xfId="0" applyFont="1" applyBorder="1" applyAlignment="1">
      <alignment horizontal="left" vertical="center"/>
    </xf>
    <xf numFmtId="0" fontId="6" fillId="0" borderId="0" xfId="0" applyFont="1" applyAlignment="1">
      <alignment horizontal="center"/>
    </xf>
    <xf numFmtId="0" fontId="10" fillId="5" borderId="0" xfId="0" applyFont="1" applyFill="1"/>
    <xf numFmtId="0" fontId="4" fillId="5" borderId="0" xfId="0" applyFont="1" applyFill="1" applyAlignment="1">
      <alignment vertical="center"/>
    </xf>
    <xf numFmtId="0" fontId="4" fillId="5" borderId="0" xfId="0" applyFont="1" applyFill="1" applyAlignment="1">
      <alignment horizontal="center" vertical="center" wrapText="1"/>
    </xf>
    <xf numFmtId="167" fontId="5" fillId="5" borderId="0" xfId="0" applyNumberFormat="1" applyFont="1" applyFill="1"/>
    <xf numFmtId="0" fontId="5" fillId="5" borderId="0" xfId="0" applyFont="1" applyFill="1"/>
    <xf numFmtId="9" fontId="7" fillId="5" borderId="5" xfId="3" applyFont="1" applyFill="1" applyBorder="1"/>
    <xf numFmtId="9" fontId="7" fillId="5" borderId="13" xfId="3" applyFont="1" applyFill="1" applyBorder="1"/>
    <xf numFmtId="9" fontId="7" fillId="5" borderId="17" xfId="3" applyFont="1" applyFill="1" applyBorder="1"/>
    <xf numFmtId="0" fontId="5" fillId="5" borderId="19" xfId="0" applyFont="1" applyFill="1" applyBorder="1" applyAlignment="1">
      <alignment horizontal="center" vertical="center"/>
    </xf>
    <xf numFmtId="0" fontId="4" fillId="0" borderId="27" xfId="0" applyFont="1" applyBorder="1"/>
    <xf numFmtId="10" fontId="4" fillId="0" borderId="28" xfId="3" applyNumberFormat="1" applyFont="1" applyFill="1" applyBorder="1"/>
    <xf numFmtId="10" fontId="5" fillId="0" borderId="28" xfId="3" applyNumberFormat="1" applyFont="1" applyFill="1" applyBorder="1"/>
    <xf numFmtId="10" fontId="5" fillId="0" borderId="29" xfId="3" applyNumberFormat="1" applyFont="1" applyFill="1" applyBorder="1"/>
    <xf numFmtId="0" fontId="0" fillId="0" borderId="6" xfId="0" quotePrefix="1" applyBorder="1" applyProtection="1">
      <protection locked="0"/>
    </xf>
    <xf numFmtId="0" fontId="0" fillId="0" borderId="9" xfId="0" applyBorder="1" applyProtection="1">
      <protection locked="0"/>
    </xf>
    <xf numFmtId="0" fontId="0" fillId="0" borderId="16" xfId="0" quotePrefix="1" applyBorder="1" applyProtection="1">
      <protection locked="0"/>
    </xf>
    <xf numFmtId="0" fontId="4" fillId="0" borderId="32" xfId="0" applyFont="1" applyBorder="1" applyAlignment="1" applyProtection="1">
      <alignment horizontal="left" vertical="center" indent="1"/>
      <protection locked="0"/>
    </xf>
    <xf numFmtId="0" fontId="7" fillId="0" borderId="33" xfId="0" applyFont="1" applyBorder="1" applyAlignment="1">
      <alignment horizontal="center" vertical="center"/>
    </xf>
    <xf numFmtId="44" fontId="4" fillId="0" borderId="37" xfId="1" applyFont="1" applyFill="1" applyBorder="1" applyAlignment="1" applyProtection="1">
      <alignment vertical="center"/>
      <protection locked="0"/>
    </xf>
    <xf numFmtId="44" fontId="5" fillId="0" borderId="22" xfId="0" applyNumberFormat="1" applyFont="1" applyBorder="1" applyProtection="1">
      <protection locked="0"/>
    </xf>
    <xf numFmtId="0" fontId="4" fillId="0" borderId="0" xfId="0" applyFont="1" applyAlignment="1">
      <alignment horizontal="left"/>
    </xf>
    <xf numFmtId="0" fontId="6" fillId="0" borderId="0" xfId="0" applyFont="1" applyAlignment="1">
      <alignment horizontal="right"/>
    </xf>
    <xf numFmtId="167" fontId="5" fillId="0" borderId="22" xfId="3" applyNumberFormat="1" applyFont="1" applyFill="1" applyBorder="1" applyAlignment="1">
      <alignment horizontal="center"/>
    </xf>
    <xf numFmtId="0" fontId="5" fillId="4" borderId="43" xfId="0" applyFont="1" applyFill="1" applyBorder="1"/>
    <xf numFmtId="0" fontId="5" fillId="7" borderId="11" xfId="0" applyFont="1" applyFill="1" applyBorder="1"/>
    <xf numFmtId="0" fontId="0" fillId="7" borderId="11" xfId="0" applyFill="1" applyBorder="1"/>
    <xf numFmtId="0" fontId="5" fillId="7" borderId="15" xfId="0" applyFont="1" applyFill="1" applyBorder="1"/>
    <xf numFmtId="169" fontId="5" fillId="0" borderId="13" xfId="3" applyNumberFormat="1" applyFont="1" applyFill="1" applyBorder="1" applyAlignment="1">
      <alignment horizontal="center"/>
    </xf>
    <xf numFmtId="0" fontId="0" fillId="8" borderId="0" xfId="0" applyFill="1"/>
    <xf numFmtId="168" fontId="5" fillId="9" borderId="3" xfId="0" applyNumberFormat="1" applyFont="1" applyFill="1" applyBorder="1"/>
    <xf numFmtId="0" fontId="0" fillId="2" borderId="0" xfId="0" applyFill="1" applyAlignment="1">
      <alignment vertical="top"/>
    </xf>
    <xf numFmtId="0" fontId="0" fillId="0" borderId="0" xfId="0" applyAlignment="1">
      <alignment vertical="top"/>
    </xf>
    <xf numFmtId="0" fontId="1" fillId="0" borderId="0" xfId="0" applyFont="1" applyAlignment="1">
      <alignment horizontal="left"/>
    </xf>
    <xf numFmtId="0" fontId="1" fillId="0" borderId="2" xfId="0" applyFont="1" applyBorder="1" applyProtection="1">
      <protection locked="0"/>
    </xf>
    <xf numFmtId="0" fontId="1" fillId="0" borderId="0" xfId="0" applyFont="1" applyAlignment="1">
      <alignment horizontal="center"/>
    </xf>
    <xf numFmtId="0" fontId="1" fillId="10" borderId="0" xfId="0" applyFont="1" applyFill="1"/>
    <xf numFmtId="0" fontId="5" fillId="10" borderId="0" xfId="0" applyFont="1" applyFill="1"/>
    <xf numFmtId="0" fontId="5" fillId="10" borderId="0" xfId="0" applyFont="1" applyFill="1" applyAlignment="1">
      <alignment horizontal="center"/>
    </xf>
    <xf numFmtId="0" fontId="4" fillId="10" borderId="0" xfId="0" applyFont="1" applyFill="1"/>
    <xf numFmtId="0" fontId="1" fillId="10" borderId="0" xfId="0" applyFont="1" applyFill="1" applyAlignment="1">
      <alignment horizontal="left"/>
    </xf>
    <xf numFmtId="0" fontId="0" fillId="8" borderId="0" xfId="0" applyFill="1" applyAlignment="1">
      <alignment vertical="center"/>
    </xf>
    <xf numFmtId="0" fontId="4" fillId="8" borderId="0" xfId="0" applyFont="1" applyFill="1" applyAlignment="1">
      <alignment horizontal="left"/>
    </xf>
    <xf numFmtId="0" fontId="6" fillId="8" borderId="0" xfId="0" applyFont="1" applyFill="1" applyAlignment="1">
      <alignment horizontal="right"/>
    </xf>
    <xf numFmtId="0" fontId="4" fillId="0" borderId="0" xfId="0" applyFont="1" applyAlignment="1">
      <alignment horizontal="center"/>
    </xf>
    <xf numFmtId="0" fontId="4" fillId="0" borderId="18" xfId="0" applyFont="1" applyBorder="1"/>
    <xf numFmtId="0" fontId="1" fillId="0" borderId="19" xfId="0" applyFont="1" applyBorder="1"/>
    <xf numFmtId="0" fontId="4" fillId="0" borderId="19" xfId="0" applyFont="1" applyBorder="1"/>
    <xf numFmtId="0" fontId="0" fillId="0" borderId="19" xfId="0" applyBorder="1"/>
    <xf numFmtId="0" fontId="0" fillId="0" borderId="26" xfId="0" applyBorder="1"/>
    <xf numFmtId="0" fontId="0" fillId="0" borderId="35" xfId="0" applyBorder="1"/>
    <xf numFmtId="0" fontId="1" fillId="0" borderId="0" xfId="0" applyFont="1"/>
    <xf numFmtId="0" fontId="0" fillId="0" borderId="34" xfId="0" applyBorder="1"/>
    <xf numFmtId="0" fontId="0" fillId="0" borderId="32" xfId="0" applyBorder="1"/>
    <xf numFmtId="0" fontId="0" fillId="0" borderId="33" xfId="0" applyBorder="1"/>
    <xf numFmtId="0" fontId="0" fillId="0" borderId="33" xfId="0" applyBorder="1" applyAlignment="1">
      <alignment horizontal="center"/>
    </xf>
    <xf numFmtId="0" fontId="0" fillId="0" borderId="37" xfId="0" applyBorder="1"/>
    <xf numFmtId="0" fontId="0" fillId="0" borderId="18" xfId="0" applyBorder="1"/>
    <xf numFmtId="0" fontId="1" fillId="0" borderId="33" xfId="0" applyFont="1" applyBorder="1"/>
    <xf numFmtId="0" fontId="1" fillId="0" borderId="0" xfId="0" applyFont="1" applyAlignment="1">
      <alignment horizontal="right"/>
    </xf>
    <xf numFmtId="0" fontId="1" fillId="0" borderId="33" xfId="0" applyFont="1" applyBorder="1" applyAlignment="1">
      <alignment horizontal="right"/>
    </xf>
    <xf numFmtId="0" fontId="1" fillId="0" borderId="33" xfId="0" applyFont="1" applyBorder="1" applyAlignment="1">
      <alignment horizontal="left"/>
    </xf>
    <xf numFmtId="0" fontId="0" fillId="0" borderId="30" xfId="0" applyBorder="1"/>
    <xf numFmtId="0" fontId="0" fillId="0" borderId="28" xfId="0" applyBorder="1"/>
    <xf numFmtId="0" fontId="0" fillId="0" borderId="3" xfId="0" applyBorder="1"/>
    <xf numFmtId="0" fontId="5" fillId="0" borderId="3" xfId="0" applyFont="1" applyBorder="1"/>
    <xf numFmtId="0" fontId="0" fillId="0" borderId="2" xfId="0" applyBorder="1"/>
    <xf numFmtId="0" fontId="4" fillId="12" borderId="61" xfId="0" applyFont="1" applyFill="1" applyBorder="1" applyAlignment="1">
      <alignment horizontal="center" vertical="center" wrapText="1"/>
    </xf>
    <xf numFmtId="0" fontId="4" fillId="12" borderId="57" xfId="0" applyFont="1" applyFill="1" applyBorder="1" applyAlignment="1">
      <alignment vertical="center"/>
    </xf>
    <xf numFmtId="0" fontId="0" fillId="0" borderId="44" xfId="0" applyBorder="1"/>
    <xf numFmtId="0" fontId="0" fillId="0" borderId="27" xfId="0" applyBorder="1"/>
    <xf numFmtId="0" fontId="0" fillId="0" borderId="11" xfId="0" applyBorder="1"/>
    <xf numFmtId="0" fontId="0" fillId="0" borderId="46" xfId="0" applyBorder="1"/>
    <xf numFmtId="0" fontId="0" fillId="0" borderId="15" xfId="0" applyBorder="1"/>
    <xf numFmtId="0" fontId="1" fillId="0" borderId="0" xfId="0" quotePrefix="1" applyFont="1" applyAlignment="1">
      <alignment horizontal="left"/>
    </xf>
    <xf numFmtId="0" fontId="1" fillId="0" borderId="30" xfId="0" applyFont="1" applyBorder="1" applyProtection="1">
      <protection locked="0"/>
    </xf>
    <xf numFmtId="0" fontId="1" fillId="0" borderId="31" xfId="0" applyFont="1" applyBorder="1" applyProtection="1">
      <protection locked="0"/>
    </xf>
    <xf numFmtId="0" fontId="0" fillId="0" borderId="62" xfId="0" quotePrefix="1" applyBorder="1" applyProtection="1">
      <protection locked="0"/>
    </xf>
    <xf numFmtId="44" fontId="0" fillId="0" borderId="19" xfId="1" applyFont="1" applyBorder="1"/>
    <xf numFmtId="44" fontId="0" fillId="0" borderId="0" xfId="1" applyFont="1" applyBorder="1" applyAlignment="1">
      <alignment horizontal="left"/>
    </xf>
    <xf numFmtId="44" fontId="0" fillId="0" borderId="0" xfId="1" applyFont="1" applyBorder="1"/>
    <xf numFmtId="44" fontId="0" fillId="0" borderId="34" xfId="1" applyFont="1" applyBorder="1"/>
    <xf numFmtId="44" fontId="0" fillId="0" borderId="0" xfId="0" applyNumberFormat="1"/>
    <xf numFmtId="44" fontId="0" fillId="0" borderId="34" xfId="0" applyNumberFormat="1" applyBorder="1"/>
    <xf numFmtId="0" fontId="4" fillId="0" borderId="33" xfId="0" applyFont="1" applyBorder="1"/>
    <xf numFmtId="44" fontId="4" fillId="0" borderId="33" xfId="0" applyNumberFormat="1" applyFont="1" applyBorder="1"/>
    <xf numFmtId="44" fontId="4" fillId="0" borderId="37" xfId="0" applyNumberFormat="1" applyFont="1" applyBorder="1"/>
    <xf numFmtId="0" fontId="1" fillId="0" borderId="32" xfId="0" applyFont="1" applyBorder="1" applyAlignment="1">
      <alignment horizontal="center"/>
    </xf>
    <xf numFmtId="44" fontId="0" fillId="0" borderId="33" xfId="0" applyNumberFormat="1" applyBorder="1"/>
    <xf numFmtId="0" fontId="1" fillId="0" borderId="34" xfId="0" applyFont="1" applyBorder="1" applyAlignment="1">
      <alignment horizontal="center"/>
    </xf>
    <xf numFmtId="0" fontId="0" fillId="11" borderId="0" xfId="0" applyFill="1"/>
    <xf numFmtId="44" fontId="1" fillId="0" borderId="0" xfId="1" applyFont="1" applyBorder="1" applyAlignment="1">
      <alignment horizontal="left"/>
    </xf>
    <xf numFmtId="0" fontId="4" fillId="0" borderId="35" xfId="0" applyFont="1" applyBorder="1"/>
    <xf numFmtId="0" fontId="5" fillId="0" borderId="36" xfId="0" applyFont="1" applyBorder="1" applyAlignment="1" applyProtection="1">
      <alignment horizontal="center"/>
      <protection locked="0"/>
    </xf>
    <xf numFmtId="0" fontId="0" fillId="0" borderId="8" xfId="0" applyBorder="1" applyAlignment="1" applyProtection="1">
      <alignment horizontal="center" vertical="center"/>
      <protection locked="0"/>
    </xf>
    <xf numFmtId="164" fontId="0" fillId="0" borderId="8" xfId="1" applyNumberFormat="1" applyFont="1" applyFill="1" applyBorder="1" applyAlignment="1" applyProtection="1">
      <alignment horizontal="center"/>
      <protection locked="0"/>
    </xf>
    <xf numFmtId="0" fontId="0" fillId="0" borderId="8" xfId="0" applyBorder="1" applyAlignment="1" applyProtection="1">
      <alignment horizontal="center"/>
      <protection locked="0"/>
    </xf>
    <xf numFmtId="164" fontId="5" fillId="0" borderId="8" xfId="1" applyNumberFormat="1" applyFont="1" applyFill="1" applyBorder="1" applyAlignment="1" applyProtection="1">
      <alignment horizontal="center"/>
      <protection locked="0"/>
    </xf>
    <xf numFmtId="168" fontId="5" fillId="0" borderId="3" xfId="0" applyNumberFormat="1" applyFont="1" applyBorder="1" applyProtection="1">
      <protection locked="0"/>
    </xf>
    <xf numFmtId="0" fontId="5" fillId="13" borderId="0" xfId="0" applyFont="1" applyFill="1"/>
    <xf numFmtId="0" fontId="0" fillId="13" borderId="0" xfId="0" applyFill="1"/>
    <xf numFmtId="0" fontId="3" fillId="13" borderId="0" xfId="0" applyFont="1" applyFill="1" applyAlignment="1">
      <alignment horizontal="left" vertical="center" wrapText="1"/>
    </xf>
    <xf numFmtId="0" fontId="4" fillId="13" borderId="0" xfId="0" applyFont="1" applyFill="1"/>
    <xf numFmtId="49" fontId="0" fillId="0" borderId="22" xfId="0" applyNumberFormat="1" applyBorder="1"/>
    <xf numFmtId="49" fontId="0" fillId="0" borderId="36" xfId="0" applyNumberFormat="1" applyBorder="1"/>
    <xf numFmtId="49" fontId="0" fillId="0" borderId="25" xfId="0" applyNumberFormat="1" applyBorder="1"/>
    <xf numFmtId="44" fontId="0" fillId="0" borderId="0" xfId="1" applyFont="1" applyFill="1" applyBorder="1"/>
    <xf numFmtId="44" fontId="0" fillId="0" borderId="34" xfId="1" applyFont="1" applyFill="1" applyBorder="1"/>
    <xf numFmtId="9" fontId="1" fillId="0" borderId="0" xfId="1" applyNumberFormat="1" applyFont="1" applyFill="1" applyBorder="1" applyAlignment="1"/>
    <xf numFmtId="44" fontId="1" fillId="0" borderId="33" xfId="1" applyFont="1" applyBorder="1" applyAlignment="1">
      <alignment horizontal="center"/>
    </xf>
    <xf numFmtId="44" fontId="1" fillId="0" borderId="37" xfId="1" applyFont="1" applyBorder="1" applyAlignment="1">
      <alignment horizontal="center"/>
    </xf>
    <xf numFmtId="0" fontId="1" fillId="0" borderId="19" xfId="0" applyFont="1" applyBorder="1" applyAlignment="1">
      <alignment horizontal="center"/>
    </xf>
    <xf numFmtId="0" fontId="0" fillId="0" borderId="0" xfId="0" applyProtection="1">
      <protection locked="0"/>
    </xf>
    <xf numFmtId="172" fontId="0" fillId="0" borderId="34" xfId="0" applyNumberFormat="1" applyBorder="1"/>
    <xf numFmtId="0" fontId="1" fillId="0" borderId="37" xfId="0" applyFont="1" applyBorder="1" applyAlignment="1">
      <alignment horizontal="left"/>
    </xf>
    <xf numFmtId="0" fontId="1" fillId="0" borderId="0" xfId="0" applyFont="1" applyAlignment="1">
      <alignment horizontal="left" indent="1"/>
    </xf>
    <xf numFmtId="0" fontId="1" fillId="0" borderId="0" xfId="0" quotePrefix="1" applyFont="1" applyAlignment="1">
      <alignment horizontal="left" indent="1"/>
    </xf>
    <xf numFmtId="0" fontId="3" fillId="0" borderId="0" xfId="0" applyFont="1"/>
    <xf numFmtId="0" fontId="1" fillId="13" borderId="0" xfId="0" applyFont="1" applyFill="1"/>
    <xf numFmtId="0" fontId="0" fillId="13" borderId="33" xfId="0" applyFill="1" applyBorder="1"/>
    <xf numFmtId="0" fontId="8" fillId="13" borderId="0" xfId="0" applyFont="1" applyFill="1"/>
    <xf numFmtId="0" fontId="1" fillId="13" borderId="0" xfId="0" applyFont="1" applyFill="1" applyAlignment="1">
      <alignment horizontal="right"/>
    </xf>
    <xf numFmtId="0" fontId="1" fillId="13" borderId="0" xfId="0" applyFont="1" applyFill="1" applyAlignment="1">
      <alignment horizontal="left"/>
    </xf>
    <xf numFmtId="171" fontId="0" fillId="13" borderId="0" xfId="0" applyNumberFormat="1" applyFill="1" applyAlignment="1">
      <alignment horizontal="center"/>
    </xf>
    <xf numFmtId="0" fontId="1" fillId="13" borderId="0" xfId="0" applyFont="1" applyFill="1" applyAlignment="1">
      <alignment horizontal="center"/>
    </xf>
    <xf numFmtId="44" fontId="4" fillId="13" borderId="0" xfId="0" applyNumberFormat="1" applyFont="1" applyFill="1"/>
    <xf numFmtId="0" fontId="3" fillId="13" borderId="33" xfId="0" applyFont="1" applyFill="1" applyBorder="1"/>
    <xf numFmtId="0" fontId="16" fillId="13" borderId="33" xfId="0" applyFont="1" applyFill="1" applyBorder="1"/>
    <xf numFmtId="0" fontId="3" fillId="0" borderId="19" xfId="0" applyFont="1" applyBorder="1"/>
    <xf numFmtId="0" fontId="16" fillId="0" borderId="19" xfId="0" applyFont="1" applyBorder="1"/>
    <xf numFmtId="0" fontId="16" fillId="0" borderId="26" xfId="0" applyFont="1" applyBorder="1"/>
    <xf numFmtId="0" fontId="16" fillId="0" borderId="0" xfId="0" applyFont="1" applyAlignment="1">
      <alignment horizontal="right"/>
    </xf>
    <xf numFmtId="0" fontId="16" fillId="0" borderId="0" xfId="0" applyFont="1"/>
    <xf numFmtId="0" fontId="16" fillId="0" borderId="33" xfId="0" applyFont="1" applyBorder="1"/>
    <xf numFmtId="0" fontId="16" fillId="0" borderId="37" xfId="0" applyFont="1" applyBorder="1"/>
    <xf numFmtId="172" fontId="0" fillId="0" borderId="0" xfId="0" applyNumberFormat="1"/>
    <xf numFmtId="0" fontId="1" fillId="0" borderId="3" xfId="0" applyFont="1" applyBorder="1" applyAlignment="1">
      <alignment horizontal="center"/>
    </xf>
    <xf numFmtId="0" fontId="1" fillId="0" borderId="3" xfId="0" applyFont="1" applyBorder="1"/>
    <xf numFmtId="0" fontId="1" fillId="0" borderId="35" xfId="0" applyFont="1" applyBorder="1"/>
    <xf numFmtId="44" fontId="4" fillId="0" borderId="0" xfId="0" applyNumberFormat="1" applyFont="1"/>
    <xf numFmtId="44" fontId="4" fillId="0" borderId="19" xfId="0" applyNumberFormat="1" applyFont="1" applyBorder="1"/>
    <xf numFmtId="0" fontId="3" fillId="0" borderId="0" xfId="0" applyFont="1" applyAlignment="1">
      <alignment horizontal="right"/>
    </xf>
    <xf numFmtId="0" fontId="4" fillId="0" borderId="19" xfId="0" applyFont="1" applyBorder="1" applyAlignment="1">
      <alignment horizontal="right"/>
    </xf>
    <xf numFmtId="0" fontId="8" fillId="0" borderId="19" xfId="0" applyFont="1" applyBorder="1"/>
    <xf numFmtId="0" fontId="0" fillId="0" borderId="0" xfId="0" applyAlignment="1">
      <alignment horizontal="left"/>
    </xf>
    <xf numFmtId="0" fontId="4" fillId="0" borderId="19" xfId="0" applyFont="1" applyBorder="1" applyAlignment="1" applyProtection="1">
      <alignment horizontal="center"/>
      <protection locked="0"/>
    </xf>
    <xf numFmtId="0" fontId="4" fillId="0" borderId="0" xfId="0" applyFont="1" applyProtection="1">
      <protection locked="0"/>
    </xf>
    <xf numFmtId="9" fontId="4" fillId="0" borderId="0" xfId="3" applyFont="1" applyBorder="1" applyProtection="1">
      <protection locked="0"/>
    </xf>
    <xf numFmtId="44" fontId="1" fillId="0" borderId="0" xfId="0" quotePrefix="1" applyNumberFormat="1" applyFont="1"/>
    <xf numFmtId="44" fontId="4" fillId="0" borderId="26" xfId="1" applyFont="1" applyBorder="1"/>
    <xf numFmtId="44" fontId="4" fillId="0" borderId="34" xfId="0" applyNumberFormat="1" applyFont="1" applyBorder="1"/>
    <xf numFmtId="0" fontId="3" fillId="13" borderId="0" xfId="0" applyFont="1" applyFill="1" applyAlignment="1">
      <alignment horizontal="center" textRotation="90"/>
    </xf>
    <xf numFmtId="0" fontId="4" fillId="0" borderId="33" xfId="0" applyFont="1" applyBorder="1" applyAlignment="1">
      <alignment horizontal="right"/>
    </xf>
    <xf numFmtId="0" fontId="8" fillId="13" borderId="33" xfId="0" applyFont="1" applyFill="1" applyBorder="1"/>
    <xf numFmtId="0" fontId="0" fillId="0" borderId="5" xfId="0" applyBorder="1"/>
    <xf numFmtId="0" fontId="1" fillId="0" borderId="12" xfId="0" applyFont="1" applyBorder="1"/>
    <xf numFmtId="0" fontId="4" fillId="9" borderId="30" xfId="0" applyFont="1" applyFill="1" applyBorder="1" applyAlignment="1">
      <alignment horizontal="center"/>
    </xf>
    <xf numFmtId="44" fontId="1" fillId="0" borderId="0" xfId="1" applyFont="1" applyFill="1" applyBorder="1" applyAlignment="1">
      <alignment horizontal="center"/>
    </xf>
    <xf numFmtId="44" fontId="1" fillId="0" borderId="34" xfId="1" applyFont="1" applyFill="1" applyBorder="1" applyAlignment="1">
      <alignment horizontal="center"/>
    </xf>
    <xf numFmtId="44" fontId="0" fillId="0" borderId="3" xfId="1" applyFont="1" applyBorder="1" applyAlignment="1"/>
    <xf numFmtId="44" fontId="0" fillId="0" borderId="3" xfId="0" applyNumberFormat="1" applyBorder="1"/>
    <xf numFmtId="44" fontId="4" fillId="0" borderId="1" xfId="0" applyNumberFormat="1" applyFont="1" applyBorder="1"/>
    <xf numFmtId="44" fontId="4" fillId="0" borderId="0" xfId="0" applyNumberFormat="1" applyFont="1" applyAlignment="1">
      <alignment horizontal="right"/>
    </xf>
    <xf numFmtId="44" fontId="4" fillId="0" borderId="0" xfId="1" applyFont="1" applyFill="1" applyBorder="1"/>
    <xf numFmtId="0" fontId="19" fillId="0" borderId="35" xfId="0" applyFont="1" applyBorder="1"/>
    <xf numFmtId="0" fontId="5" fillId="9" borderId="15" xfId="0" applyFont="1" applyFill="1" applyBorder="1" applyAlignment="1">
      <alignment horizontal="left"/>
    </xf>
    <xf numFmtId="0" fontId="5" fillId="9" borderId="9" xfId="0" applyFont="1" applyFill="1" applyBorder="1" applyAlignment="1">
      <alignment horizontal="left"/>
    </xf>
    <xf numFmtId="169" fontId="5" fillId="9" borderId="9" xfId="1" applyNumberFormat="1" applyFont="1" applyFill="1" applyBorder="1" applyAlignment="1" applyProtection="1">
      <alignment horizontal="center"/>
    </xf>
    <xf numFmtId="0" fontId="0" fillId="0" borderId="12" xfId="0" applyBorder="1" applyAlignment="1">
      <alignment horizontal="center"/>
    </xf>
    <xf numFmtId="0" fontId="1" fillId="0" borderId="33" xfId="0" applyFont="1" applyBorder="1" applyAlignment="1">
      <alignment horizontal="center"/>
    </xf>
    <xf numFmtId="0" fontId="1" fillId="0" borderId="37" xfId="0" applyFont="1" applyBorder="1" applyAlignment="1">
      <alignment horizontal="center"/>
    </xf>
    <xf numFmtId="0" fontId="1" fillId="0" borderId="26" xfId="0" applyFont="1" applyBorder="1" applyAlignment="1">
      <alignment horizontal="center"/>
    </xf>
    <xf numFmtId="0" fontId="4" fillId="0" borderId="0" xfId="0" applyFont="1" applyAlignment="1" applyProtection="1">
      <alignment horizontal="center"/>
      <protection locked="0"/>
    </xf>
    <xf numFmtId="0" fontId="1" fillId="0" borderId="0" xfId="0" applyFont="1" applyAlignment="1">
      <alignment horizontal="right" indent="2"/>
    </xf>
    <xf numFmtId="0" fontId="1" fillId="11" borderId="0" xfId="0" applyFont="1" applyFill="1"/>
    <xf numFmtId="0" fontId="4" fillId="13" borderId="19" xfId="0" applyFont="1" applyFill="1" applyBorder="1"/>
    <xf numFmtId="0" fontId="4" fillId="13" borderId="19" xfId="0" applyFont="1" applyFill="1" applyBorder="1" applyAlignment="1">
      <alignment horizontal="center"/>
    </xf>
    <xf numFmtId="0" fontId="4" fillId="0" borderId="26" xfId="0" applyFont="1" applyBorder="1" applyAlignment="1">
      <alignment horizontal="right"/>
    </xf>
    <xf numFmtId="44" fontId="4" fillId="0" borderId="19" xfId="0" applyNumberFormat="1" applyFont="1" applyBorder="1" applyAlignment="1">
      <alignment horizontal="right"/>
    </xf>
    <xf numFmtId="44" fontId="1" fillId="0" borderId="0" xfId="1" applyFont="1" applyBorder="1"/>
    <xf numFmtId="44" fontId="0" fillId="0" borderId="12" xfId="0" applyNumberFormat="1" applyBorder="1"/>
    <xf numFmtId="44" fontId="1" fillId="0" borderId="22" xfId="0" applyNumberFormat="1" applyFont="1" applyBorder="1" applyAlignment="1">
      <alignment horizontal="right"/>
    </xf>
    <xf numFmtId="0" fontId="0" fillId="0" borderId="33" xfId="0" applyBorder="1" applyAlignment="1">
      <alignment horizontal="right"/>
    </xf>
    <xf numFmtId="44" fontId="1" fillId="0" borderId="19" xfId="1" applyFont="1" applyBorder="1"/>
    <xf numFmtId="0" fontId="8" fillId="0" borderId="33" xfId="0" applyFont="1" applyBorder="1"/>
    <xf numFmtId="0" fontId="1" fillId="0" borderId="33" xfId="0" applyFont="1" applyBorder="1" applyAlignment="1">
      <alignment horizontal="left" indent="2"/>
    </xf>
    <xf numFmtId="0" fontId="1" fillId="0" borderId="0" xfId="0" applyFont="1" applyAlignment="1">
      <alignment horizontal="left" indent="3"/>
    </xf>
    <xf numFmtId="44" fontId="1" fillId="0" borderId="3" xfId="1" applyFont="1" applyFill="1" applyBorder="1"/>
    <xf numFmtId="164" fontId="5" fillId="0" borderId="12" xfId="1" applyNumberFormat="1" applyFont="1" applyFill="1" applyBorder="1" applyAlignment="1" applyProtection="1">
      <alignment horizontal="center"/>
      <protection locked="0"/>
    </xf>
    <xf numFmtId="164" fontId="5" fillId="7" borderId="16" xfId="1" applyNumberFormat="1" applyFont="1" applyFill="1" applyBorder="1" applyAlignment="1" applyProtection="1">
      <alignment horizontal="center"/>
    </xf>
    <xf numFmtId="0" fontId="1" fillId="7" borderId="18" xfId="0" applyFont="1" applyFill="1" applyBorder="1"/>
    <xf numFmtId="0" fontId="1" fillId="7" borderId="44" xfId="0" applyFont="1" applyFill="1" applyBorder="1"/>
    <xf numFmtId="0" fontId="1" fillId="7" borderId="15" xfId="0" applyFont="1" applyFill="1" applyBorder="1"/>
    <xf numFmtId="0" fontId="4" fillId="13" borderId="33" xfId="0" applyFont="1" applyFill="1" applyBorder="1" applyAlignment="1">
      <alignment horizontal="right"/>
    </xf>
    <xf numFmtId="0" fontId="4" fillId="13" borderId="33" xfId="0" applyFont="1" applyFill="1" applyBorder="1" applyAlignment="1">
      <alignment horizontal="center"/>
    </xf>
    <xf numFmtId="44" fontId="0" fillId="0" borderId="33" xfId="1" applyFont="1" applyBorder="1"/>
    <xf numFmtId="0" fontId="4" fillId="0" borderId="3" xfId="0" applyFont="1" applyBorder="1" applyAlignment="1">
      <alignment horizontal="center"/>
    </xf>
    <xf numFmtId="0" fontId="4" fillId="0" borderId="47" xfId="0" applyFont="1" applyBorder="1"/>
    <xf numFmtId="0" fontId="8" fillId="0" borderId="48" xfId="0" applyFont="1" applyBorder="1"/>
    <xf numFmtId="0" fontId="14" fillId="0" borderId="38" xfId="0" applyFont="1" applyBorder="1"/>
    <xf numFmtId="0" fontId="6" fillId="0" borderId="39" xfId="0" applyFont="1" applyBorder="1" applyAlignment="1">
      <alignment horizontal="right"/>
    </xf>
    <xf numFmtId="0" fontId="0" fillId="0" borderId="38" xfId="0" applyBorder="1"/>
    <xf numFmtId="0" fontId="0" fillId="0" borderId="39" xfId="0" applyBorder="1"/>
    <xf numFmtId="0" fontId="2" fillId="0" borderId="0" xfId="2" applyFill="1" applyBorder="1" applyAlignment="1" applyProtection="1">
      <alignment horizontal="center"/>
    </xf>
    <xf numFmtId="0" fontId="2" fillId="0" borderId="0" xfId="2" applyFill="1" applyBorder="1" applyAlignment="1" applyProtection="1">
      <alignment horizontal="left"/>
    </xf>
    <xf numFmtId="0" fontId="6" fillId="0" borderId="0" xfId="0" applyFont="1"/>
    <xf numFmtId="0" fontId="2" fillId="0" borderId="0" xfId="2" applyFill="1" applyBorder="1" applyAlignment="1" applyProtection="1"/>
    <xf numFmtId="0" fontId="0" fillId="0" borderId="40" xfId="0" applyBorder="1"/>
    <xf numFmtId="0" fontId="0" fillId="0" borderId="41" xfId="0" applyBorder="1"/>
    <xf numFmtId="0" fontId="0" fillId="0" borderId="42" xfId="0" applyBorder="1"/>
    <xf numFmtId="0" fontId="4" fillId="10" borderId="3" xfId="0" applyFont="1" applyFill="1" applyBorder="1" applyAlignment="1">
      <alignment horizontal="center"/>
    </xf>
    <xf numFmtId="0" fontId="4" fillId="0" borderId="38" xfId="0" applyFont="1" applyBorder="1"/>
    <xf numFmtId="0" fontId="4" fillId="0" borderId="38" xfId="0" applyFont="1" applyBorder="1" applyAlignment="1">
      <alignment vertical="top"/>
    </xf>
    <xf numFmtId="0" fontId="0" fillId="0" borderId="39" xfId="0" applyBorder="1" applyAlignment="1">
      <alignment vertical="top"/>
    </xf>
    <xf numFmtId="0" fontId="0" fillId="0" borderId="38" xfId="0" applyBorder="1" applyAlignment="1">
      <alignment vertical="top"/>
    </xf>
    <xf numFmtId="0" fontId="1" fillId="0" borderId="0" xfId="0" applyFont="1" applyAlignment="1">
      <alignment horizontal="justify" vertical="top" wrapText="1"/>
    </xf>
    <xf numFmtId="0" fontId="9" fillId="0" borderId="0" xfId="0" applyFont="1" applyAlignment="1">
      <alignment horizontal="justify" vertical="top" wrapText="1"/>
    </xf>
    <xf numFmtId="0" fontId="0" fillId="0" borderId="39" xfId="0" applyBorder="1" applyAlignment="1">
      <alignment horizontal="justify" vertical="top" wrapText="1"/>
    </xf>
    <xf numFmtId="0" fontId="0" fillId="0" borderId="0" xfId="0" applyAlignment="1">
      <alignment horizontal="justify" vertical="top" wrapText="1"/>
    </xf>
    <xf numFmtId="0" fontId="5" fillId="0" borderId="39" xfId="0" applyFont="1" applyBorder="1" applyAlignment="1">
      <alignment horizontal="justify" vertical="top" wrapText="1"/>
    </xf>
    <xf numFmtId="0" fontId="4" fillId="0" borderId="39" xfId="0" applyFont="1" applyBorder="1" applyAlignment="1">
      <alignment horizontal="justify" vertical="top" wrapText="1"/>
    </xf>
    <xf numFmtId="0" fontId="6" fillId="0" borderId="38" xfId="0" applyFont="1" applyBorder="1"/>
    <xf numFmtId="0" fontId="4" fillId="11" borderId="3" xfId="0" applyFont="1" applyFill="1" applyBorder="1" applyAlignment="1">
      <alignment horizontal="center"/>
    </xf>
    <xf numFmtId="0" fontId="0" fillId="0" borderId="0" xfId="0" applyAlignment="1">
      <alignment vertical="top" wrapText="1"/>
    </xf>
    <xf numFmtId="0" fontId="1" fillId="0" borderId="0" xfId="0" applyFont="1" applyAlignment="1">
      <alignment vertical="top" wrapText="1"/>
    </xf>
    <xf numFmtId="0" fontId="4" fillId="0" borderId="35" xfId="0" applyFont="1" applyBorder="1" applyAlignment="1">
      <alignment vertical="top"/>
    </xf>
    <xf numFmtId="0" fontId="5" fillId="0" borderId="35" xfId="0" applyFont="1" applyBorder="1" applyAlignment="1">
      <alignment horizontal="right" vertical="top"/>
    </xf>
    <xf numFmtId="0" fontId="1" fillId="0" borderId="35" xfId="0" applyFont="1" applyBorder="1" applyAlignment="1">
      <alignment horizontal="right" vertical="top"/>
    </xf>
    <xf numFmtId="169" fontId="5" fillId="0" borderId="34" xfId="1" applyNumberFormat="1" applyFont="1" applyFill="1" applyBorder="1" applyAlignment="1">
      <alignment horizontal="left" vertical="top" wrapText="1"/>
    </xf>
    <xf numFmtId="0" fontId="5" fillId="0" borderId="32" xfId="0" applyFont="1" applyBorder="1" applyAlignment="1">
      <alignment horizontal="right" vertical="top"/>
    </xf>
    <xf numFmtId="0" fontId="4" fillId="12" borderId="9"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5" fillId="0" borderId="19" xfId="0" applyFont="1" applyBorder="1"/>
    <xf numFmtId="0" fontId="5" fillId="0" borderId="26" xfId="0" applyFont="1" applyBorder="1"/>
    <xf numFmtId="0" fontId="1" fillId="0" borderId="34" xfId="0" applyFont="1" applyBorder="1" applyAlignment="1">
      <alignment horizontal="right"/>
    </xf>
    <xf numFmtId="0" fontId="1" fillId="0" borderId="0" xfId="0" applyFont="1" applyAlignment="1">
      <alignment vertical="top"/>
    </xf>
    <xf numFmtId="44" fontId="4" fillId="0" borderId="3" xfId="0" applyNumberFormat="1" applyFont="1" applyBorder="1"/>
    <xf numFmtId="9" fontId="0" fillId="0" borderId="33" xfId="3" applyFont="1" applyBorder="1"/>
    <xf numFmtId="166" fontId="0" fillId="0" borderId="0" xfId="3" applyNumberFormat="1" applyFont="1" applyBorder="1"/>
    <xf numFmtId="0" fontId="1" fillId="0" borderId="33" xfId="0" applyFont="1" applyBorder="1" applyAlignment="1">
      <alignment horizontal="left" indent="3"/>
    </xf>
    <xf numFmtId="44" fontId="13" fillId="0" borderId="0" xfId="1" applyFont="1" applyBorder="1" applyAlignment="1" applyProtection="1">
      <alignment horizontal="center"/>
    </xf>
    <xf numFmtId="0" fontId="13" fillId="0" borderId="0" xfId="0" applyFont="1"/>
    <xf numFmtId="0" fontId="1" fillId="0" borderId="38" xfId="0" applyFont="1" applyBorder="1"/>
    <xf numFmtId="0" fontId="0" fillId="0" borderId="14" xfId="0" applyBorder="1"/>
    <xf numFmtId="0" fontId="1" fillId="0" borderId="12" xfId="0" quotePrefix="1" applyFont="1" applyBorder="1"/>
    <xf numFmtId="0" fontId="0" fillId="0" borderId="12" xfId="0" applyBorder="1"/>
    <xf numFmtId="1" fontId="1" fillId="0" borderId="0" xfId="0" applyNumberFormat="1" applyFont="1" applyAlignment="1">
      <alignment horizontal="left" indent="3"/>
    </xf>
    <xf numFmtId="0" fontId="1" fillId="14" borderId="3" xfId="0" applyFont="1" applyFill="1" applyBorder="1" applyAlignment="1">
      <alignment horizontal="center"/>
    </xf>
    <xf numFmtId="165" fontId="1" fillId="3" borderId="17" xfId="1" applyNumberFormat="1" applyFont="1" applyFill="1" applyBorder="1" applyAlignment="1" applyProtection="1"/>
    <xf numFmtId="0" fontId="0" fillId="3" borderId="63" xfId="0" applyFill="1" applyBorder="1" applyAlignment="1">
      <alignment horizontal="center"/>
    </xf>
    <xf numFmtId="165" fontId="1" fillId="3" borderId="25" xfId="1" applyNumberFormat="1" applyFont="1" applyFill="1" applyBorder="1" applyAlignment="1" applyProtection="1"/>
    <xf numFmtId="0" fontId="1" fillId="3" borderId="16" xfId="0" applyFont="1" applyFill="1" applyBorder="1" applyAlignment="1">
      <alignment horizontal="right"/>
    </xf>
    <xf numFmtId="0" fontId="7" fillId="0" borderId="30" xfId="0" applyFont="1" applyBorder="1"/>
    <xf numFmtId="0" fontId="1" fillId="0" borderId="30" xfId="0" applyFont="1" applyBorder="1"/>
    <xf numFmtId="0" fontId="0" fillId="0" borderId="45" xfId="0" applyBorder="1"/>
    <xf numFmtId="0" fontId="1" fillId="0" borderId="11" xfId="0" applyFont="1" applyBorder="1" applyAlignment="1">
      <alignment horizontal="center"/>
    </xf>
    <xf numFmtId="0" fontId="0" fillId="0" borderId="8" xfId="0" applyBorder="1"/>
    <xf numFmtId="0" fontId="1" fillId="0" borderId="15" xfId="0" applyFont="1" applyBorder="1" applyAlignment="1">
      <alignment horizontal="center"/>
    </xf>
    <xf numFmtId="0" fontId="1" fillId="0" borderId="45" xfId="0" applyFont="1" applyBorder="1"/>
    <xf numFmtId="14" fontId="0" fillId="0" borderId="68" xfId="0" applyNumberFormat="1" applyBorder="1"/>
    <xf numFmtId="14" fontId="0" fillId="0" borderId="69" xfId="0" applyNumberFormat="1" applyBorder="1"/>
    <xf numFmtId="14" fontId="0" fillId="0" borderId="70" xfId="0" applyNumberFormat="1" applyBorder="1"/>
    <xf numFmtId="9" fontId="0" fillId="0" borderId="0" xfId="0" applyNumberFormat="1"/>
    <xf numFmtId="169" fontId="1" fillId="0" borderId="3" xfId="0" applyNumberFormat="1" applyFont="1" applyBorder="1" applyAlignment="1">
      <alignment horizontal="center"/>
    </xf>
    <xf numFmtId="44" fontId="1" fillId="0" borderId="0" xfId="1" applyFont="1" applyFill="1" applyBorder="1"/>
    <xf numFmtId="0" fontId="1" fillId="0" borderId="0" xfId="0" applyFont="1" applyAlignment="1">
      <alignment horizontal="centerContinuous"/>
    </xf>
    <xf numFmtId="44" fontId="1" fillId="0" borderId="34" xfId="0" applyNumberFormat="1" applyFont="1" applyBorder="1" applyAlignment="1">
      <alignment horizontal="right"/>
    </xf>
    <xf numFmtId="0" fontId="7" fillId="0" borderId="71" xfId="0" applyFont="1" applyBorder="1" applyAlignment="1">
      <alignment horizontal="center"/>
    </xf>
    <xf numFmtId="164" fontId="7" fillId="0" borderId="3" xfId="0" applyNumberFormat="1" applyFont="1" applyBorder="1"/>
    <xf numFmtId="44" fontId="7" fillId="0" borderId="3" xfId="1" applyFont="1" applyFill="1" applyBorder="1"/>
    <xf numFmtId="44" fontId="1" fillId="0" borderId="3" xfId="0" applyNumberFormat="1" applyFont="1" applyBorder="1" applyAlignment="1">
      <alignment horizontal="center"/>
    </xf>
    <xf numFmtId="0" fontId="1" fillId="0" borderId="5" xfId="0" applyFont="1" applyBorder="1"/>
    <xf numFmtId="44" fontId="0" fillId="0" borderId="7" xfId="0" applyNumberFormat="1" applyBorder="1"/>
    <xf numFmtId="166" fontId="0" fillId="0" borderId="5" xfId="0" applyNumberFormat="1" applyBorder="1"/>
    <xf numFmtId="44" fontId="0" fillId="0" borderId="5" xfId="0" applyNumberFormat="1" applyBorder="1"/>
    <xf numFmtId="166" fontId="1" fillId="0" borderId="7" xfId="0" applyNumberFormat="1" applyFont="1" applyBorder="1" applyAlignment="1">
      <alignment horizontal="right"/>
    </xf>
    <xf numFmtId="169" fontId="1" fillId="0" borderId="8" xfId="1" applyNumberFormat="1" applyFont="1" applyFill="1" applyBorder="1" applyAlignment="1">
      <alignment horizontal="center"/>
    </xf>
    <xf numFmtId="0" fontId="0" fillId="0" borderId="63" xfId="0" applyBorder="1"/>
    <xf numFmtId="169" fontId="1" fillId="0" borderId="10" xfId="1" applyNumberFormat="1" applyFont="1" applyFill="1" applyBorder="1" applyAlignment="1">
      <alignment horizontal="center"/>
    </xf>
    <xf numFmtId="0" fontId="1" fillId="0" borderId="27" xfId="0" applyFont="1" applyBorder="1" applyAlignment="1">
      <alignment horizontal="center"/>
    </xf>
    <xf numFmtId="44" fontId="1" fillId="0" borderId="7" xfId="1" applyFont="1" applyFill="1" applyBorder="1" applyAlignment="1">
      <alignment horizontal="right"/>
    </xf>
    <xf numFmtId="44" fontId="1" fillId="0" borderId="7" xfId="1" applyFont="1" applyFill="1" applyBorder="1" applyAlignment="1">
      <alignment horizontal="left"/>
    </xf>
    <xf numFmtId="0" fontId="24" fillId="0" borderId="3" xfId="0" applyFont="1" applyBorder="1" applyAlignment="1">
      <alignment horizontal="center"/>
    </xf>
    <xf numFmtId="0" fontId="24" fillId="0" borderId="71" xfId="0" applyFont="1" applyBorder="1"/>
    <xf numFmtId="0" fontId="7" fillId="0" borderId="0" xfId="0" applyFont="1" applyAlignment="1">
      <alignment horizontal="center"/>
    </xf>
    <xf numFmtId="44" fontId="1" fillId="0" borderId="0" xfId="1" applyFont="1" applyFill="1" applyBorder="1" applyAlignment="1">
      <alignment horizontal="left"/>
    </xf>
    <xf numFmtId="44" fontId="1" fillId="0" borderId="0" xfId="1" applyFont="1" applyFill="1" applyBorder="1" applyAlignment="1">
      <alignment horizontal="right"/>
    </xf>
    <xf numFmtId="0" fontId="24" fillId="0" borderId="0" xfId="0" applyFont="1"/>
    <xf numFmtId="0" fontId="5" fillId="0" borderId="19" xfId="0" applyFont="1" applyBorder="1" applyAlignment="1">
      <alignment horizontal="center"/>
    </xf>
    <xf numFmtId="0" fontId="5" fillId="0" borderId="0" xfId="0" applyFont="1" applyAlignment="1">
      <alignment horizontal="center" vertical="top"/>
    </xf>
    <xf numFmtId="0" fontId="0" fillId="0" borderId="22" xfId="0" applyBorder="1"/>
    <xf numFmtId="44" fontId="7" fillId="0" borderId="3" xfId="0" applyNumberFormat="1" applyFont="1" applyBorder="1" applyProtection="1">
      <protection locked="0"/>
    </xf>
    <xf numFmtId="44" fontId="1" fillId="0" borderId="0" xfId="1" applyFont="1" applyBorder="1" applyAlignment="1">
      <alignment horizontal="right"/>
    </xf>
    <xf numFmtId="0" fontId="4" fillId="0" borderId="2" xfId="0" applyFont="1" applyBorder="1" applyAlignment="1">
      <alignment horizontal="center"/>
    </xf>
    <xf numFmtId="0" fontId="1" fillId="0" borderId="37" xfId="0" applyFont="1" applyBorder="1"/>
    <xf numFmtId="0" fontId="8" fillId="0" borderId="0" xfId="0" applyFont="1"/>
    <xf numFmtId="0" fontId="8" fillId="0" borderId="0" xfId="0" applyFont="1" applyAlignment="1">
      <alignment horizontal="right"/>
    </xf>
    <xf numFmtId="14" fontId="0" fillId="0" borderId="0" xfId="0" applyNumberFormat="1"/>
    <xf numFmtId="0" fontId="26" fillId="0" borderId="0" xfId="0" applyFont="1" applyAlignment="1">
      <alignment horizontal="center"/>
    </xf>
    <xf numFmtId="0" fontId="26" fillId="0" borderId="0" xfId="0" applyFont="1"/>
    <xf numFmtId="0" fontId="13" fillId="0" borderId="0" xfId="0" applyFont="1" applyAlignment="1">
      <alignment horizontal="center"/>
    </xf>
    <xf numFmtId="0" fontId="4" fillId="0" borderId="30" xfId="0" applyFont="1" applyBorder="1"/>
    <xf numFmtId="0" fontId="24" fillId="0" borderId="44" xfId="0" applyFont="1" applyBorder="1"/>
    <xf numFmtId="0" fontId="1" fillId="14" borderId="0" xfId="0" applyFont="1" applyFill="1"/>
    <xf numFmtId="9" fontId="0" fillId="0" borderId="0" xfId="0" applyNumberFormat="1" applyAlignment="1">
      <alignment horizontal="center"/>
    </xf>
    <xf numFmtId="0" fontId="0" fillId="0" borderId="0" xfId="0" applyAlignment="1">
      <alignment horizontal="right"/>
    </xf>
    <xf numFmtId="0" fontId="1" fillId="0" borderId="5" xfId="0" applyFont="1" applyBorder="1" applyAlignment="1">
      <alignment horizontal="center"/>
    </xf>
    <xf numFmtId="0" fontId="0" fillId="14" borderId="0" xfId="0" applyFill="1"/>
    <xf numFmtId="0" fontId="0" fillId="14" borderId="35" xfId="0" applyFill="1" applyBorder="1"/>
    <xf numFmtId="0" fontId="0" fillId="14" borderId="34" xfId="0" applyFill="1" applyBorder="1"/>
    <xf numFmtId="14" fontId="1" fillId="0" borderId="0" xfId="0" applyNumberFormat="1" applyFont="1" applyAlignment="1" applyProtection="1">
      <alignment horizontal="center"/>
      <protection locked="0"/>
    </xf>
    <xf numFmtId="0" fontId="1" fillId="11" borderId="11" xfId="0" applyFont="1" applyFill="1" applyBorder="1" applyAlignment="1">
      <alignment horizontal="center"/>
    </xf>
    <xf numFmtId="0" fontId="0" fillId="0" borderId="11" xfId="0" applyBorder="1" applyAlignment="1">
      <alignment horizontal="center"/>
    </xf>
    <xf numFmtId="0" fontId="1" fillId="0" borderId="16" xfId="0" quotePrefix="1" applyFont="1" applyBorder="1"/>
    <xf numFmtId="0" fontId="0" fillId="0" borderId="25" xfId="0" applyBorder="1"/>
    <xf numFmtId="0" fontId="0" fillId="11" borderId="8" xfId="0" applyFill="1" applyBorder="1"/>
    <xf numFmtId="0" fontId="0" fillId="10" borderId="8" xfId="0" applyFill="1" applyBorder="1"/>
    <xf numFmtId="0" fontId="1" fillId="0" borderId="9" xfId="0" applyFont="1" applyBorder="1"/>
    <xf numFmtId="0" fontId="0" fillId="10" borderId="10" xfId="0" applyFill="1" applyBorder="1"/>
    <xf numFmtId="0" fontId="23" fillId="11" borderId="11" xfId="0" applyFont="1" applyFill="1" applyBorder="1" applyAlignment="1">
      <alignment horizontal="center"/>
    </xf>
    <xf numFmtId="0" fontId="0" fillId="10" borderId="11" xfId="0" applyFill="1" applyBorder="1" applyAlignment="1">
      <alignment horizontal="center"/>
    </xf>
    <xf numFmtId="0" fontId="0" fillId="0" borderId="16" xfId="0" applyBorder="1"/>
    <xf numFmtId="0" fontId="14" fillId="0" borderId="0" xfId="0" applyFont="1"/>
    <xf numFmtId="0" fontId="14" fillId="14" borderId="0" xfId="0" applyFont="1" applyFill="1"/>
    <xf numFmtId="0" fontId="0" fillId="14" borderId="0" xfId="0" applyFill="1" applyAlignment="1">
      <alignment horizontal="center"/>
    </xf>
    <xf numFmtId="0" fontId="1" fillId="0" borderId="0" xfId="0" applyFont="1" applyAlignment="1">
      <alignment horizontal="left" wrapText="1"/>
    </xf>
    <xf numFmtId="0" fontId="1" fillId="14" borderId="0" xfId="0" applyFont="1" applyFill="1" applyAlignment="1">
      <alignment horizontal="center"/>
    </xf>
    <xf numFmtId="0" fontId="4" fillId="0" borderId="0" xfId="0" applyFont="1" applyAlignment="1">
      <alignment horizontal="left" vertical="top" wrapText="1"/>
    </xf>
    <xf numFmtId="14" fontId="4" fillId="0" borderId="0" xfId="0" applyNumberFormat="1" applyFont="1" applyAlignment="1">
      <alignment horizontal="center"/>
    </xf>
    <xf numFmtId="44" fontId="4" fillId="0" borderId="34" xfId="1" applyFont="1" applyFill="1" applyBorder="1" applyAlignment="1">
      <alignment horizontal="right"/>
    </xf>
    <xf numFmtId="0" fontId="1" fillId="0" borderId="0" xfId="0" applyFont="1" applyAlignment="1">
      <alignment horizontal="center" wrapText="1"/>
    </xf>
    <xf numFmtId="0" fontId="25" fillId="0" borderId="0" xfId="0" applyFont="1" applyAlignment="1">
      <alignment horizontal="center"/>
    </xf>
    <xf numFmtId="0" fontId="20" fillId="0" borderId="0" xfId="0" applyFont="1" applyAlignment="1">
      <alignment horizontal="right"/>
    </xf>
    <xf numFmtId="0" fontId="3" fillId="0" borderId="33" xfId="0" applyFont="1" applyBorder="1"/>
    <xf numFmtId="14" fontId="1" fillId="0" borderId="0" xfId="0" applyNumberFormat="1" applyFont="1" applyAlignment="1">
      <alignment horizontal="center"/>
    </xf>
    <xf numFmtId="0" fontId="14" fillId="0" borderId="0" xfId="0" applyFont="1" applyAlignment="1">
      <alignment horizontal="right"/>
    </xf>
    <xf numFmtId="14" fontId="4" fillId="0" borderId="0" xfId="0" applyNumberFormat="1" applyFont="1" applyAlignment="1">
      <alignment horizontal="left"/>
    </xf>
    <xf numFmtId="0" fontId="0" fillId="0" borderId="39" xfId="0" applyBorder="1" applyAlignment="1">
      <alignment horizontal="right"/>
    </xf>
    <xf numFmtId="0" fontId="4" fillId="0" borderId="1" xfId="0" applyFont="1" applyBorder="1"/>
    <xf numFmtId="14" fontId="1" fillId="0" borderId="0" xfId="0" quotePrefix="1" applyNumberFormat="1" applyFont="1" applyAlignment="1">
      <alignment horizontal="center"/>
    </xf>
    <xf numFmtId="0" fontId="8" fillId="0" borderId="0" xfId="0" applyFont="1" applyAlignment="1">
      <alignment horizontal="center" vertical="center"/>
    </xf>
    <xf numFmtId="0" fontId="25" fillId="0" borderId="0" xfId="0" applyFont="1"/>
    <xf numFmtId="0" fontId="27" fillId="0" borderId="0" xfId="0" applyFont="1"/>
    <xf numFmtId="173" fontId="25" fillId="0" borderId="0" xfId="0" applyNumberFormat="1" applyFont="1"/>
    <xf numFmtId="9" fontId="1" fillId="0" borderId="0" xfId="0" applyNumberFormat="1" applyFont="1"/>
    <xf numFmtId="0" fontId="28" fillId="0" borderId="0" xfId="0" applyFont="1"/>
    <xf numFmtId="16" fontId="1" fillId="0" borderId="26" xfId="0" quotePrefix="1" applyNumberFormat="1" applyFont="1" applyBorder="1" applyAlignment="1" applyProtection="1">
      <alignment horizontal="center"/>
      <protection locked="0"/>
    </xf>
    <xf numFmtId="0" fontId="5" fillId="0" borderId="45"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4" fillId="12" borderId="61" xfId="0" applyFont="1" applyFill="1" applyBorder="1" applyAlignment="1">
      <alignment horizontal="center" vertical="center"/>
    </xf>
    <xf numFmtId="0" fontId="1" fillId="14" borderId="0" xfId="0" applyFont="1" applyFill="1" applyAlignment="1">
      <alignment horizontal="left"/>
    </xf>
    <xf numFmtId="0" fontId="4" fillId="14" borderId="35" xfId="0" applyFont="1" applyFill="1" applyBorder="1"/>
    <xf numFmtId="0" fontId="4" fillId="14" borderId="0" xfId="0" applyFont="1" applyFill="1"/>
    <xf numFmtId="0" fontId="4" fillId="14" borderId="0" xfId="0" applyFont="1" applyFill="1" applyAlignment="1">
      <alignment horizontal="center"/>
    </xf>
    <xf numFmtId="44" fontId="0" fillId="14" borderId="0" xfId="1" applyFont="1" applyFill="1" applyBorder="1"/>
    <xf numFmtId="44" fontId="1" fillId="14" borderId="0" xfId="1" applyFont="1" applyFill="1" applyBorder="1"/>
    <xf numFmtId="44" fontId="4" fillId="14" borderId="34" xfId="1" applyFont="1" applyFill="1" applyBorder="1"/>
    <xf numFmtId="0" fontId="1" fillId="14" borderId="11" xfId="0" applyFont="1" applyFill="1" applyBorder="1" applyAlignment="1">
      <alignment horizontal="center"/>
    </xf>
    <xf numFmtId="0" fontId="1" fillId="14" borderId="8" xfId="0" applyFont="1" applyFill="1" applyBorder="1"/>
    <xf numFmtId="0" fontId="1" fillId="14" borderId="15" xfId="0" applyFont="1" applyFill="1" applyBorder="1" applyAlignment="1">
      <alignment horizontal="center"/>
    </xf>
    <xf numFmtId="0" fontId="1" fillId="14" borderId="10" xfId="0" applyFont="1" applyFill="1" applyBorder="1"/>
    <xf numFmtId="44" fontId="0" fillId="0" borderId="3" xfId="0" applyNumberFormat="1" applyBorder="1" applyAlignment="1">
      <alignment horizontal="center"/>
    </xf>
    <xf numFmtId="0" fontId="0" fillId="0" borderId="43" xfId="0" applyBorder="1"/>
    <xf numFmtId="0" fontId="0" fillId="0" borderId="4" xfId="0" applyBorder="1"/>
    <xf numFmtId="49" fontId="0" fillId="0" borderId="24" xfId="0" applyNumberFormat="1" applyBorder="1"/>
    <xf numFmtId="0" fontId="0" fillId="0" borderId="6" xfId="0" applyBorder="1"/>
    <xf numFmtId="0" fontId="0" fillId="0" borderId="13" xfId="0" applyBorder="1"/>
    <xf numFmtId="0" fontId="0" fillId="0" borderId="17" xfId="0" applyBorder="1"/>
    <xf numFmtId="0" fontId="0" fillId="15" borderId="11" xfId="0" applyFill="1" applyBorder="1" applyAlignment="1">
      <alignment horizontal="center"/>
    </xf>
    <xf numFmtId="0" fontId="23" fillId="0" borderId="11" xfId="0" applyFont="1" applyBorder="1" applyAlignment="1">
      <alignment horizontal="center"/>
    </xf>
    <xf numFmtId="0" fontId="1" fillId="0" borderId="16" xfId="0" applyFont="1" applyBorder="1"/>
    <xf numFmtId="0" fontId="0" fillId="15" borderId="8" xfId="0" applyFill="1" applyBorder="1"/>
    <xf numFmtId="0" fontId="0" fillId="17" borderId="8" xfId="0" applyFill="1" applyBorder="1"/>
    <xf numFmtId="0" fontId="0" fillId="16" borderId="15" xfId="0" applyFill="1" applyBorder="1" applyAlignment="1">
      <alignment horizontal="center"/>
    </xf>
    <xf numFmtId="174" fontId="1" fillId="0" borderId="0" xfId="0" applyNumberFormat="1" applyFont="1" applyAlignment="1">
      <alignment horizontal="right"/>
    </xf>
    <xf numFmtId="1" fontId="4" fillId="0" borderId="0" xfId="0" applyNumberFormat="1" applyFont="1"/>
    <xf numFmtId="1" fontId="1" fillId="0" borderId="0" xfId="0" applyNumberFormat="1" applyFont="1" applyAlignment="1">
      <alignment horizontal="right"/>
    </xf>
    <xf numFmtId="177" fontId="4" fillId="0" borderId="33" xfId="0" applyNumberFormat="1" applyFont="1" applyBorder="1"/>
    <xf numFmtId="176" fontId="0" fillId="0" borderId="0" xfId="0" applyNumberFormat="1" applyAlignment="1">
      <alignment horizontal="center"/>
    </xf>
    <xf numFmtId="0" fontId="1" fillId="0" borderId="0" xfId="0" applyFont="1" applyAlignment="1">
      <alignment horizontal="right" indent="1"/>
    </xf>
    <xf numFmtId="0" fontId="1" fillId="0" borderId="0" xfId="0" applyFont="1" applyAlignment="1">
      <alignment horizontal="left" vertical="top" wrapText="1"/>
    </xf>
    <xf numFmtId="0" fontId="11" fillId="0" borderId="0" xfId="0" applyFont="1"/>
    <xf numFmtId="0" fontId="1" fillId="14" borderId="79" xfId="0" applyFont="1" applyFill="1" applyBorder="1" applyAlignment="1">
      <alignment horizontal="left"/>
    </xf>
    <xf numFmtId="0" fontId="0" fillId="14" borderId="80" xfId="0" applyFill="1" applyBorder="1"/>
    <xf numFmtId="0" fontId="1" fillId="14" borderId="81" xfId="0" applyFont="1" applyFill="1" applyBorder="1" applyAlignment="1">
      <alignment vertical="top"/>
    </xf>
    <xf numFmtId="0" fontId="0" fillId="14" borderId="82" xfId="0" applyFill="1" applyBorder="1"/>
    <xf numFmtId="0" fontId="1" fillId="0" borderId="82" xfId="0" applyFont="1" applyBorder="1" applyAlignment="1">
      <alignment horizontal="center"/>
    </xf>
    <xf numFmtId="0" fontId="4" fillId="0" borderId="0" xfId="0" applyFont="1" applyAlignment="1">
      <alignment horizontal="right" indent="4"/>
    </xf>
    <xf numFmtId="9" fontId="0" fillId="0" borderId="0" xfId="3" applyFont="1" applyFill="1"/>
    <xf numFmtId="0" fontId="30" fillId="0" borderId="0" xfId="0" applyFont="1"/>
    <xf numFmtId="0" fontId="1" fillId="0" borderId="0" xfId="0" applyFont="1" applyAlignment="1">
      <alignment horizontal="center" vertical="top" wrapText="1"/>
    </xf>
    <xf numFmtId="14" fontId="0" fillId="0" borderId="0" xfId="0" applyNumberFormat="1" applyAlignment="1">
      <alignment horizontal="right"/>
    </xf>
    <xf numFmtId="0" fontId="0" fillId="13" borderId="0" xfId="0" applyFill="1" applyAlignment="1">
      <alignment horizontal="center"/>
    </xf>
    <xf numFmtId="0" fontId="1" fillId="13" borderId="34" xfId="0" applyFont="1" applyFill="1" applyBorder="1" applyAlignment="1">
      <alignment horizontal="center"/>
    </xf>
    <xf numFmtId="0" fontId="14" fillId="0" borderId="0" xfId="0" applyFont="1" applyAlignment="1">
      <alignment horizontal="center" vertical="center"/>
    </xf>
    <xf numFmtId="0" fontId="0" fillId="14" borderId="11" xfId="0" applyFill="1" applyBorder="1" applyAlignment="1">
      <alignment horizontal="center"/>
    </xf>
    <xf numFmtId="0" fontId="1" fillId="14" borderId="12" xfId="0" applyFont="1" applyFill="1" applyBorder="1"/>
    <xf numFmtId="0" fontId="0" fillId="14" borderId="14" xfId="0" applyFill="1" applyBorder="1"/>
    <xf numFmtId="0" fontId="28" fillId="0" borderId="33" xfId="0" applyFont="1" applyBorder="1"/>
    <xf numFmtId="166" fontId="0" fillId="0" borderId="33" xfId="0" applyNumberFormat="1" applyBorder="1"/>
    <xf numFmtId="166" fontId="0" fillId="0" borderId="33" xfId="3" applyNumberFormat="1" applyFont="1" applyBorder="1" applyAlignment="1" applyProtection="1">
      <alignment horizontal="right"/>
    </xf>
    <xf numFmtId="166" fontId="0" fillId="0" borderId="0" xfId="3" applyNumberFormat="1" applyFont="1" applyBorder="1" applyAlignment="1">
      <alignment horizontal="right"/>
    </xf>
    <xf numFmtId="166" fontId="0" fillId="0" borderId="0" xfId="0" applyNumberFormat="1" applyAlignment="1">
      <alignment horizontal="center"/>
    </xf>
    <xf numFmtId="0" fontId="0" fillId="0" borderId="0" xfId="0" applyAlignment="1">
      <alignment horizontal="right" indent="1"/>
    </xf>
    <xf numFmtId="0" fontId="4" fillId="0" borderId="0" xfId="0" applyFont="1" applyAlignment="1">
      <alignment vertical="top" wrapText="1"/>
    </xf>
    <xf numFmtId="0" fontId="1" fillId="0" borderId="28" xfId="0" applyFont="1" applyBorder="1" applyAlignment="1">
      <alignment horizontal="center"/>
    </xf>
    <xf numFmtId="0" fontId="1" fillId="0" borderId="9" xfId="0" applyFont="1" applyBorder="1" applyAlignment="1">
      <alignment horizontal="center"/>
    </xf>
    <xf numFmtId="0" fontId="1" fillId="0" borderId="0" xfId="0" applyFont="1" applyAlignment="1">
      <alignment horizontal="center" vertical="top"/>
    </xf>
    <xf numFmtId="0" fontId="1" fillId="0" borderId="0" xfId="0" quotePrefix="1" applyFont="1" applyAlignment="1">
      <alignment horizontal="center" vertical="top"/>
    </xf>
    <xf numFmtId="0" fontId="1" fillId="0" borderId="33" xfId="0" applyFont="1" applyBorder="1" applyAlignment="1">
      <alignment horizontal="center" vertical="top"/>
    </xf>
    <xf numFmtId="9" fontId="4" fillId="0" borderId="0" xfId="0" applyNumberFormat="1" applyFont="1" applyAlignment="1">
      <alignment horizontal="center"/>
    </xf>
    <xf numFmtId="9" fontId="4" fillId="0" borderId="0" xfId="1" applyNumberFormat="1" applyFont="1" applyFill="1" applyBorder="1" applyAlignment="1" applyProtection="1">
      <alignment horizontal="center"/>
      <protection locked="0"/>
    </xf>
    <xf numFmtId="0" fontId="14" fillId="13" borderId="0" xfId="0" applyFont="1" applyFill="1" applyAlignment="1">
      <alignment horizontal="center"/>
    </xf>
    <xf numFmtId="0" fontId="16" fillId="0" borderId="0" xfId="0" applyFont="1" applyAlignment="1">
      <alignment horizontal="center"/>
    </xf>
    <xf numFmtId="0" fontId="1" fillId="14" borderId="0" xfId="0" quotePrefix="1" applyFont="1" applyFill="1" applyAlignment="1">
      <alignment horizontal="left" indent="1"/>
    </xf>
    <xf numFmtId="0" fontId="1" fillId="14" borderId="0" xfId="0" applyFont="1" applyFill="1" applyAlignment="1">
      <alignment horizontal="centerContinuous"/>
    </xf>
    <xf numFmtId="44" fontId="1" fillId="14" borderId="0" xfId="1" applyFont="1" applyFill="1" applyBorder="1" applyAlignment="1">
      <alignment horizontal="left"/>
    </xf>
    <xf numFmtId="44" fontId="1" fillId="14" borderId="0" xfId="1" applyFont="1" applyFill="1" applyBorder="1" applyAlignment="1">
      <alignment horizontal="right"/>
    </xf>
    <xf numFmtId="44" fontId="4" fillId="14" borderId="34" xfId="1" applyFont="1" applyFill="1" applyBorder="1" applyAlignment="1">
      <alignment horizontal="right"/>
    </xf>
    <xf numFmtId="44" fontId="1" fillId="14" borderId="7" xfId="1" applyFont="1" applyFill="1" applyBorder="1"/>
    <xf numFmtId="44" fontId="1" fillId="14" borderId="5" xfId="1" applyFont="1" applyFill="1" applyBorder="1"/>
    <xf numFmtId="0" fontId="13" fillId="0" borderId="82" xfId="0" applyFont="1" applyBorder="1" applyAlignment="1">
      <alignment horizontal="center"/>
    </xf>
    <xf numFmtId="1" fontId="4" fillId="14" borderId="0" xfId="0" applyNumberFormat="1" applyFont="1" applyFill="1"/>
    <xf numFmtId="1" fontId="1" fillId="14" borderId="0" xfId="0" applyNumberFormat="1" applyFont="1" applyFill="1"/>
    <xf numFmtId="44" fontId="0" fillId="14" borderId="0" xfId="1" applyFont="1" applyFill="1" applyBorder="1" applyProtection="1"/>
    <xf numFmtId="44" fontId="1" fillId="14" borderId="0" xfId="1" applyFont="1" applyFill="1" applyBorder="1" applyProtection="1"/>
    <xf numFmtId="44" fontId="4" fillId="14" borderId="34" xfId="1" applyFont="1" applyFill="1" applyBorder="1" applyProtection="1"/>
    <xf numFmtId="0" fontId="4" fillId="14" borderId="0" xfId="0" applyFont="1" applyFill="1" applyAlignment="1">
      <alignment horizontal="left"/>
    </xf>
    <xf numFmtId="0" fontId="24" fillId="0" borderId="0" xfId="0" applyFont="1" applyAlignment="1">
      <alignment horizontal="center"/>
    </xf>
    <xf numFmtId="0" fontId="4" fillId="0" borderId="12" xfId="0" applyFont="1" applyBorder="1" applyAlignment="1">
      <alignment horizontal="center"/>
    </xf>
    <xf numFmtId="0" fontId="4" fillId="14" borderId="7" xfId="0" applyFont="1" applyFill="1" applyBorder="1" applyAlignment="1">
      <alignment horizontal="center"/>
    </xf>
    <xf numFmtId="0" fontId="4" fillId="14" borderId="74" xfId="0" applyFont="1" applyFill="1" applyBorder="1" applyAlignment="1">
      <alignment horizontal="center"/>
    </xf>
    <xf numFmtId="0" fontId="4" fillId="14" borderId="5" xfId="0" applyFont="1" applyFill="1" applyBorder="1" applyAlignment="1">
      <alignment horizontal="center"/>
    </xf>
    <xf numFmtId="0" fontId="4" fillId="14" borderId="24" xfId="0" applyFont="1" applyFill="1" applyBorder="1" applyAlignment="1">
      <alignment horizontal="center"/>
    </xf>
    <xf numFmtId="44" fontId="4" fillId="0" borderId="2" xfId="0" applyNumberFormat="1" applyFont="1" applyBorder="1" applyAlignment="1">
      <alignment horizontal="center"/>
    </xf>
    <xf numFmtId="44" fontId="4" fillId="0" borderId="28" xfId="0" applyNumberFormat="1" applyFont="1" applyBorder="1" applyAlignment="1">
      <alignment horizontal="center"/>
    </xf>
    <xf numFmtId="0" fontId="4" fillId="3" borderId="84" xfId="0" applyFont="1" applyFill="1" applyBorder="1" applyAlignment="1">
      <alignment horizontal="center" vertical="center" wrapText="1"/>
    </xf>
    <xf numFmtId="0" fontId="4" fillId="3" borderId="85" xfId="0" applyFont="1" applyFill="1" applyBorder="1" applyAlignment="1">
      <alignment horizontal="center" vertical="center" wrapText="1"/>
    </xf>
    <xf numFmtId="168" fontId="25" fillId="0" borderId="14" xfId="0" applyNumberFormat="1" applyFont="1" applyBorder="1"/>
    <xf numFmtId="0" fontId="1" fillId="0" borderId="87" xfId="0" applyFont="1" applyBorder="1" applyAlignment="1">
      <alignment horizontal="center"/>
    </xf>
    <xf numFmtId="0" fontId="1" fillId="0" borderId="29" xfId="0" applyFont="1" applyBorder="1" applyAlignment="1">
      <alignment horizontal="center"/>
    </xf>
    <xf numFmtId="9" fontId="0" fillId="0" borderId="33" xfId="0" applyNumberFormat="1" applyBorder="1"/>
    <xf numFmtId="0" fontId="0" fillId="0" borderId="0" xfId="0" applyAlignment="1">
      <alignment horizontal="center" vertical="center"/>
    </xf>
    <xf numFmtId="0" fontId="0" fillId="0" borderId="0" xfId="0" applyAlignment="1">
      <alignment horizontal="right" vertical="center"/>
    </xf>
    <xf numFmtId="0" fontId="13" fillId="0" borderId="0" xfId="0" applyFont="1" applyAlignment="1">
      <alignment horizontal="right"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8" fillId="0" borderId="0" xfId="0" applyFont="1" applyAlignment="1">
      <alignment horizontal="left"/>
    </xf>
    <xf numFmtId="0" fontId="1" fillId="0" borderId="0" xfId="0" applyFont="1" applyAlignment="1">
      <alignment horizontal="right" vertical="center" wrapText="1"/>
    </xf>
    <xf numFmtId="0" fontId="0" fillId="0" borderId="9" xfId="0" applyBorder="1" applyAlignment="1">
      <alignment horizontal="center" vertical="center" wrapText="1"/>
    </xf>
    <xf numFmtId="0" fontId="0" fillId="0" borderId="30" xfId="0" applyBorder="1" applyAlignment="1">
      <alignment horizontal="center" vertical="center" wrapText="1"/>
    </xf>
    <xf numFmtId="0" fontId="0" fillId="0" borderId="45" xfId="0" applyBorder="1" applyAlignment="1">
      <alignment horizontal="center" vertical="center" wrapText="1"/>
    </xf>
    <xf numFmtId="164" fontId="0" fillId="0" borderId="44" xfId="1" applyNumberFormat="1" applyFont="1" applyBorder="1" applyAlignment="1">
      <alignment horizontal="center" vertical="center"/>
    </xf>
    <xf numFmtId="10" fontId="0" fillId="0" borderId="44" xfId="0" applyNumberFormat="1" applyBorder="1" applyAlignment="1">
      <alignment horizontal="center" vertical="center"/>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8" xfId="0" applyBorder="1" applyAlignment="1">
      <alignment horizontal="center" vertical="center" wrapText="1"/>
    </xf>
    <xf numFmtId="164" fontId="0" fillId="0" borderId="11" xfId="1" applyNumberFormat="1" applyFont="1" applyBorder="1" applyAlignment="1">
      <alignment horizontal="center" vertical="center"/>
    </xf>
    <xf numFmtId="10" fontId="0" fillId="0" borderId="11" xfId="0" applyNumberFormat="1" applyBorder="1" applyAlignment="1">
      <alignment horizontal="center" vertical="center"/>
    </xf>
    <xf numFmtId="164" fontId="1" fillId="0" borderId="46" xfId="1" applyNumberFormat="1" applyFont="1" applyBorder="1" applyAlignment="1">
      <alignment horizontal="center" vertical="center"/>
    </xf>
    <xf numFmtId="164" fontId="1" fillId="0" borderId="56" xfId="1" applyNumberFormat="1" applyFont="1" applyBorder="1" applyAlignment="1">
      <alignment horizontal="center" vertical="center"/>
    </xf>
    <xf numFmtId="0" fontId="0" fillId="0" borderId="46" xfId="0" applyBorder="1" applyAlignment="1">
      <alignment horizontal="center" vertical="center" wrapText="1"/>
    </xf>
    <xf numFmtId="0" fontId="0" fillId="0" borderId="2" xfId="0" applyBorder="1" applyAlignment="1">
      <alignment horizontal="center" vertical="center" wrapText="1"/>
    </xf>
    <xf numFmtId="0" fontId="0" fillId="0" borderId="56" xfId="0" applyBorder="1" applyAlignment="1">
      <alignment horizontal="center" vertical="center" wrapText="1"/>
    </xf>
    <xf numFmtId="9" fontId="0" fillId="0" borderId="61" xfId="0" applyNumberFormat="1" applyBorder="1" applyAlignment="1">
      <alignment horizontal="center" vertical="center"/>
    </xf>
    <xf numFmtId="9" fontId="0" fillId="0" borderId="57" xfId="0" applyNumberFormat="1" applyBorder="1" applyAlignment="1">
      <alignment horizontal="center" vertical="center"/>
    </xf>
    <xf numFmtId="0" fontId="1" fillId="0" borderId="57" xfId="0" applyFont="1" applyBorder="1" applyAlignment="1">
      <alignment horizontal="center" vertical="center"/>
    </xf>
    <xf numFmtId="0" fontId="0" fillId="0" borderId="72" xfId="0" applyBorder="1" applyAlignment="1">
      <alignment horizontal="center" vertical="center" wrapText="1"/>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44" fontId="0" fillId="0" borderId="44" xfId="1" applyFont="1" applyBorder="1" applyAlignment="1">
      <alignment vertical="center"/>
    </xf>
    <xf numFmtId="44" fontId="0" fillId="0" borderId="11" xfId="1" applyFont="1" applyBorder="1" applyAlignment="1">
      <alignment vertical="center"/>
    </xf>
    <xf numFmtId="44" fontId="0" fillId="0" borderId="15" xfId="1" applyFont="1" applyBorder="1" applyAlignment="1">
      <alignment vertical="center"/>
    </xf>
    <xf numFmtId="0" fontId="1" fillId="0" borderId="0" xfId="0" applyFont="1" applyAlignment="1">
      <alignment horizontal="left" vertical="center" wrapText="1" indent="1"/>
    </xf>
    <xf numFmtId="164" fontId="0" fillId="0" borderId="0" xfId="1" applyNumberFormat="1" applyFont="1" applyBorder="1" applyAlignment="1">
      <alignment vertical="center"/>
    </xf>
    <xf numFmtId="0" fontId="25" fillId="0" borderId="0" xfId="0" applyFont="1" applyAlignment="1">
      <alignment horizontal="left" vertical="center" wrapText="1" indent="1"/>
    </xf>
    <xf numFmtId="44" fontId="0" fillId="0" borderId="68" xfId="1" applyFont="1" applyBorder="1" applyAlignment="1">
      <alignment vertical="center"/>
    </xf>
    <xf numFmtId="44" fontId="0" fillId="0" borderId="69" xfId="1" applyFont="1" applyBorder="1" applyAlignment="1">
      <alignment vertical="center"/>
    </xf>
    <xf numFmtId="44" fontId="0" fillId="0" borderId="70" xfId="1"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49" xfId="0" applyBorder="1" applyAlignment="1">
      <alignment vertical="center"/>
    </xf>
    <xf numFmtId="0" fontId="0" fillId="0" borderId="58" xfId="0" applyBorder="1" applyAlignment="1">
      <alignment vertical="center"/>
    </xf>
    <xf numFmtId="0" fontId="0" fillId="0" borderId="55"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1" fillId="0" borderId="73" xfId="0" applyFont="1" applyBorder="1" applyAlignment="1">
      <alignment vertical="center"/>
    </xf>
    <xf numFmtId="0" fontId="1" fillId="0" borderId="74" xfId="0" applyFont="1" applyBorder="1" applyAlignment="1">
      <alignment vertical="center"/>
    </xf>
    <xf numFmtId="0" fontId="1" fillId="0" borderId="22" xfId="0" applyFont="1" applyBorder="1" applyAlignment="1">
      <alignment vertical="center"/>
    </xf>
    <xf numFmtId="0" fontId="1" fillId="0" borderId="25" xfId="0" applyFont="1" applyBorder="1" applyAlignment="1">
      <alignment vertical="center"/>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 fillId="0" borderId="49" xfId="0" applyFont="1" applyBorder="1" applyAlignment="1">
      <alignment horizontal="center" vertical="center"/>
    </xf>
    <xf numFmtId="0" fontId="1" fillId="0" borderId="36" xfId="0" applyFont="1" applyBorder="1" applyAlignment="1">
      <alignment vertical="center"/>
    </xf>
    <xf numFmtId="0" fontId="19" fillId="0" borderId="0" xfId="0" applyFont="1" applyAlignment="1">
      <alignment horizontal="right" vertical="center" wrapText="1"/>
    </xf>
    <xf numFmtId="0" fontId="1" fillId="0" borderId="30" xfId="0" applyFont="1" applyBorder="1" applyAlignment="1">
      <alignment horizontal="center" vertical="center"/>
    </xf>
    <xf numFmtId="9" fontId="1" fillId="0" borderId="0" xfId="3" applyFont="1" applyBorder="1" applyProtection="1">
      <protection locked="0"/>
    </xf>
    <xf numFmtId="169" fontId="1" fillId="0" borderId="45" xfId="0" applyNumberFormat="1" applyFont="1" applyBorder="1" applyAlignment="1" applyProtection="1">
      <alignment horizontal="center" vertical="center"/>
      <protection locked="0"/>
    </xf>
    <xf numFmtId="44" fontId="1" fillId="0" borderId="0" xfId="0" applyNumberFormat="1" applyFont="1" applyAlignment="1">
      <alignment horizontal="right"/>
    </xf>
    <xf numFmtId="49" fontId="1" fillId="0" borderId="22" xfId="0" applyNumberFormat="1" applyFont="1" applyBorder="1"/>
    <xf numFmtId="164" fontId="1" fillId="14" borderId="15" xfId="1" applyNumberFormat="1" applyFont="1" applyFill="1" applyBorder="1" applyAlignment="1">
      <alignment horizontal="center" vertical="center"/>
    </xf>
    <xf numFmtId="164" fontId="0" fillId="14" borderId="10" xfId="1" applyNumberFormat="1" applyFont="1" applyFill="1" applyBorder="1" applyAlignment="1">
      <alignment horizontal="center" vertical="center"/>
    </xf>
    <xf numFmtId="164" fontId="0" fillId="14" borderId="11" xfId="1" applyNumberFormat="1" applyFont="1" applyFill="1" applyBorder="1" applyAlignment="1">
      <alignment horizontal="center" vertical="center"/>
    </xf>
    <xf numFmtId="164" fontId="0" fillId="14" borderId="8" xfId="1" applyNumberFormat="1" applyFont="1" applyFill="1" applyBorder="1" applyAlignment="1">
      <alignment horizontal="center" vertical="center"/>
    </xf>
    <xf numFmtId="10" fontId="1" fillId="0" borderId="10" xfId="0" applyNumberFormat="1" applyFont="1" applyBorder="1" applyAlignment="1">
      <alignment horizontal="center" vertical="center"/>
    </xf>
    <xf numFmtId="164" fontId="0" fillId="14" borderId="27" xfId="1" applyNumberFormat="1" applyFont="1" applyFill="1" applyBorder="1" applyAlignment="1">
      <alignment horizontal="center" vertical="center"/>
    </xf>
    <xf numFmtId="164" fontId="0" fillId="14" borderId="28" xfId="1" applyNumberFormat="1" applyFont="1" applyFill="1" applyBorder="1" applyAlignment="1">
      <alignment horizontal="center" vertical="center"/>
    </xf>
    <xf numFmtId="164" fontId="0" fillId="14" borderId="29" xfId="1" applyNumberFormat="1" applyFont="1" applyFill="1" applyBorder="1" applyAlignment="1">
      <alignment horizontal="center" vertical="center"/>
    </xf>
    <xf numFmtId="164" fontId="0" fillId="14" borderId="3" xfId="1" applyNumberFormat="1" applyFont="1" applyFill="1" applyBorder="1" applyAlignment="1">
      <alignment horizontal="center" vertical="center"/>
    </xf>
    <xf numFmtId="164" fontId="0" fillId="14" borderId="15" xfId="1" applyNumberFormat="1" applyFont="1" applyFill="1" applyBorder="1" applyAlignment="1">
      <alignment horizontal="center" vertical="center"/>
    </xf>
    <xf numFmtId="164" fontId="0" fillId="14" borderId="9" xfId="1" applyNumberFormat="1" applyFont="1" applyFill="1" applyBorder="1" applyAlignment="1">
      <alignment horizontal="center" vertical="center"/>
    </xf>
    <xf numFmtId="0" fontId="1" fillId="0" borderId="44" xfId="0" applyFont="1" applyBorder="1" applyAlignment="1">
      <alignment horizontal="center" vertical="center" wrapText="1"/>
    </xf>
    <xf numFmtId="0" fontId="1" fillId="0" borderId="9" xfId="0" applyFont="1" applyBorder="1" applyAlignment="1">
      <alignment horizontal="center" vertical="center" wrapText="1"/>
    </xf>
    <xf numFmtId="10" fontId="1" fillId="0" borderId="73"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10" fontId="0" fillId="0" borderId="43" xfId="0" applyNumberFormat="1" applyBorder="1" applyAlignment="1">
      <alignment horizontal="center" vertical="center"/>
    </xf>
    <xf numFmtId="10" fontId="0" fillId="0" borderId="12" xfId="0" applyNumberFormat="1" applyBorder="1" applyAlignment="1">
      <alignment horizontal="center" vertical="center"/>
    </xf>
    <xf numFmtId="168" fontId="0" fillId="0" borderId="12" xfId="0" applyNumberFormat="1" applyBorder="1" applyAlignment="1">
      <alignment horizontal="center" vertical="center"/>
    </xf>
    <xf numFmtId="8" fontId="1" fillId="0" borderId="7" xfId="0" applyNumberFormat="1" applyFont="1" applyBorder="1" applyAlignment="1">
      <alignment horizontal="center" vertical="center"/>
    </xf>
    <xf numFmtId="0" fontId="1" fillId="0" borderId="16" xfId="0" applyFont="1" applyBorder="1" applyAlignment="1">
      <alignment horizontal="center" vertical="center" wrapText="1"/>
    </xf>
    <xf numFmtId="0" fontId="25" fillId="0" borderId="2" xfId="0" applyFont="1" applyBorder="1" applyAlignment="1">
      <alignment horizontal="center" vertical="center" wrapText="1"/>
    </xf>
    <xf numFmtId="0" fontId="1" fillId="0" borderId="3" xfId="0" applyFont="1" applyBorder="1" applyAlignment="1">
      <alignment horizontal="center" vertical="center" wrapText="1"/>
    </xf>
    <xf numFmtId="10" fontId="1" fillId="0" borderId="15" xfId="0" applyNumberFormat="1" applyFont="1" applyBorder="1" applyAlignment="1">
      <alignment horizontal="center" vertical="center"/>
    </xf>
    <xf numFmtId="9" fontId="0" fillId="0" borderId="68" xfId="0" applyNumberFormat="1" applyBorder="1" applyAlignment="1">
      <alignment horizontal="center" vertical="center"/>
    </xf>
    <xf numFmtId="9" fontId="0" fillId="0" borderId="69" xfId="0" applyNumberFormat="1" applyBorder="1" applyAlignment="1">
      <alignment horizontal="center" vertical="center"/>
    </xf>
    <xf numFmtId="0" fontId="1" fillId="0" borderId="69" xfId="0" applyFont="1" applyBorder="1" applyAlignment="1">
      <alignment horizontal="center" vertical="center"/>
    </xf>
    <xf numFmtId="9" fontId="1" fillId="0" borderId="70" xfId="0" applyNumberFormat="1" applyFont="1" applyBorder="1" applyAlignment="1">
      <alignment horizontal="center" vertical="center"/>
    </xf>
    <xf numFmtId="169" fontId="1" fillId="0" borderId="9" xfId="0" applyNumberFormat="1" applyFont="1" applyBorder="1" applyAlignment="1">
      <alignment horizontal="center"/>
    </xf>
    <xf numFmtId="0" fontId="1" fillId="4" borderId="11" xfId="0" applyFont="1" applyFill="1" applyBorder="1"/>
    <xf numFmtId="165" fontId="1" fillId="0" borderId="3" xfId="1" applyNumberFormat="1" applyFont="1" applyFill="1" applyBorder="1" applyProtection="1"/>
    <xf numFmtId="0" fontId="1" fillId="14" borderId="74" xfId="0" applyFont="1" applyFill="1" applyBorder="1" applyAlignment="1">
      <alignment vertical="center"/>
    </xf>
    <xf numFmtId="44" fontId="0" fillId="0" borderId="11" xfId="1" applyFont="1" applyBorder="1" applyAlignment="1">
      <alignment horizontal="center" vertical="center"/>
    </xf>
    <xf numFmtId="44" fontId="0" fillId="0" borderId="8" xfId="1" applyFont="1" applyBorder="1" applyAlignment="1">
      <alignment horizontal="center" vertical="center"/>
    </xf>
    <xf numFmtId="0" fontId="24" fillId="0" borderId="30" xfId="0" applyFont="1" applyBorder="1"/>
    <xf numFmtId="0" fontId="1" fillId="18" borderId="11" xfId="0" applyFont="1" applyFill="1" applyBorder="1" applyAlignment="1">
      <alignment horizontal="center"/>
    </xf>
    <xf numFmtId="0" fontId="1" fillId="18" borderId="12" xfId="0" applyFont="1" applyFill="1" applyBorder="1"/>
    <xf numFmtId="0" fontId="0" fillId="18" borderId="22" xfId="0" applyFill="1" applyBorder="1"/>
    <xf numFmtId="0" fontId="1" fillId="18" borderId="15" xfId="0" applyFont="1" applyFill="1" applyBorder="1" applyAlignment="1">
      <alignment horizontal="center"/>
    </xf>
    <xf numFmtId="0" fontId="1" fillId="18" borderId="16" xfId="0" applyFont="1" applyFill="1" applyBorder="1"/>
    <xf numFmtId="0" fontId="0" fillId="18" borderId="25" xfId="0" applyFill="1" applyBorder="1"/>
    <xf numFmtId="0" fontId="1" fillId="18" borderId="3" xfId="0" applyFont="1" applyFill="1" applyBorder="1"/>
    <xf numFmtId="0" fontId="1" fillId="18" borderId="3" xfId="0" applyFont="1" applyFill="1" applyBorder="1" applyAlignment="1">
      <alignment horizontal="center"/>
    </xf>
    <xf numFmtId="0" fontId="0" fillId="18" borderId="3" xfId="0" applyFill="1" applyBorder="1" applyAlignment="1">
      <alignment horizontal="center"/>
    </xf>
    <xf numFmtId="0" fontId="0" fillId="18" borderId="8" xfId="0" applyFill="1" applyBorder="1"/>
    <xf numFmtId="0" fontId="1" fillId="18" borderId="46" xfId="0" applyFont="1" applyFill="1" applyBorder="1" applyAlignment="1">
      <alignment horizontal="center"/>
    </xf>
    <xf numFmtId="0" fontId="1" fillId="18" borderId="2" xfId="0" applyFont="1" applyFill="1" applyBorder="1"/>
    <xf numFmtId="0" fontId="1" fillId="18" borderId="2" xfId="0" applyFont="1" applyFill="1" applyBorder="1" applyAlignment="1">
      <alignment horizontal="center"/>
    </xf>
    <xf numFmtId="0" fontId="0" fillId="18" borderId="2" xfId="0" applyFill="1" applyBorder="1" applyAlignment="1">
      <alignment horizontal="center"/>
    </xf>
    <xf numFmtId="0" fontId="0" fillId="18" borderId="56" xfId="0" applyFill="1" applyBorder="1"/>
    <xf numFmtId="0" fontId="0" fillId="18" borderId="3" xfId="0" applyFill="1" applyBorder="1"/>
    <xf numFmtId="0" fontId="1" fillId="18" borderId="8" xfId="0" applyFont="1" applyFill="1" applyBorder="1"/>
    <xf numFmtId="0" fontId="1" fillId="18" borderId="9" xfId="0" applyFont="1" applyFill="1" applyBorder="1"/>
    <xf numFmtId="0" fontId="1" fillId="18" borderId="9" xfId="0" applyFont="1" applyFill="1" applyBorder="1" applyAlignment="1">
      <alignment horizontal="center"/>
    </xf>
    <xf numFmtId="0" fontId="0" fillId="18" borderId="9" xfId="0" applyFill="1" applyBorder="1" applyAlignment="1">
      <alignment horizontal="center"/>
    </xf>
    <xf numFmtId="0" fontId="0" fillId="18" borderId="10" xfId="0" applyFill="1" applyBorder="1"/>
    <xf numFmtId="169" fontId="1" fillId="0" borderId="0" xfId="0" applyNumberFormat="1" applyFont="1" applyAlignment="1">
      <alignment horizontal="center"/>
    </xf>
    <xf numFmtId="10" fontId="1" fillId="0" borderId="0" xfId="0" applyNumberFormat="1" applyFont="1" applyAlignment="1">
      <alignment horizontal="right"/>
    </xf>
    <xf numFmtId="0" fontId="1" fillId="0" borderId="58" xfId="0" applyFont="1" applyBorder="1" applyAlignment="1">
      <alignment horizontal="center"/>
    </xf>
    <xf numFmtId="0" fontId="0" fillId="0" borderId="55" xfId="0" applyBorder="1"/>
    <xf numFmtId="0" fontId="33" fillId="0" borderId="59" xfId="0" applyFont="1" applyBorder="1" applyAlignment="1">
      <alignment horizontal="center" vertical="center"/>
    </xf>
    <xf numFmtId="0" fontId="1" fillId="18" borderId="44" xfId="0" applyFont="1" applyFill="1" applyBorder="1" applyAlignment="1">
      <alignment horizontal="center"/>
    </xf>
    <xf numFmtId="0" fontId="1" fillId="18" borderId="30" xfId="0" applyFont="1" applyFill="1" applyBorder="1"/>
    <xf numFmtId="0" fontId="0" fillId="18" borderId="45" xfId="0" applyFill="1" applyBorder="1" applyAlignment="1">
      <alignment horizontal="center"/>
    </xf>
    <xf numFmtId="0" fontId="0" fillId="18" borderId="8" xfId="0" applyFill="1" applyBorder="1" applyAlignment="1">
      <alignment horizontal="center"/>
    </xf>
    <xf numFmtId="0" fontId="0" fillId="18" borderId="10" xfId="0" applyFill="1" applyBorder="1" applyAlignment="1">
      <alignment horizontal="center"/>
    </xf>
    <xf numFmtId="0" fontId="0" fillId="18" borderId="75" xfId="0" applyFill="1" applyBorder="1"/>
    <xf numFmtId="0" fontId="0" fillId="18" borderId="70" xfId="0" applyFill="1" applyBorder="1"/>
    <xf numFmtId="0" fontId="0" fillId="18" borderId="12" xfId="0" applyFill="1" applyBorder="1" applyAlignment="1">
      <alignment horizontal="center"/>
    </xf>
    <xf numFmtId="0" fontId="0" fillId="18" borderId="67" xfId="0" applyFill="1" applyBorder="1"/>
    <xf numFmtId="0" fontId="33" fillId="0" borderId="66" xfId="0" applyFont="1" applyBorder="1" applyAlignment="1">
      <alignment horizontal="center" vertical="center"/>
    </xf>
    <xf numFmtId="0" fontId="7" fillId="0" borderId="67" xfId="0" applyFont="1" applyBorder="1" applyAlignment="1">
      <alignment horizontal="center"/>
    </xf>
    <xf numFmtId="0" fontId="0" fillId="0" borderId="88" xfId="0" applyBorder="1" applyAlignment="1">
      <alignment horizontal="center"/>
    </xf>
    <xf numFmtId="0" fontId="4" fillId="18" borderId="0" xfId="0" applyFont="1" applyFill="1" applyAlignment="1">
      <alignment horizontal="left"/>
    </xf>
    <xf numFmtId="0" fontId="4" fillId="18" borderId="0" xfId="0" applyFont="1" applyFill="1" applyAlignment="1">
      <alignment horizontal="center"/>
    </xf>
    <xf numFmtId="0" fontId="1" fillId="18" borderId="8" xfId="0" applyFont="1" applyFill="1" applyBorder="1" applyAlignment="1">
      <alignment horizontal="left"/>
    </xf>
    <xf numFmtId="0" fontId="1" fillId="18" borderId="10" xfId="0" applyFont="1" applyFill="1" applyBorder="1"/>
    <xf numFmtId="10" fontId="0" fillId="0" borderId="2" xfId="0" applyNumberFormat="1" applyBorder="1" applyAlignment="1">
      <alignment horizontal="center"/>
    </xf>
    <xf numFmtId="10" fontId="1" fillId="0" borderId="2" xfId="0" applyNumberFormat="1" applyFont="1" applyBorder="1" applyAlignment="1">
      <alignment horizontal="center"/>
    </xf>
    <xf numFmtId="0" fontId="1" fillId="0" borderId="33" xfId="0" applyFont="1" applyBorder="1" applyAlignment="1">
      <alignment horizontal="center" vertical="top" wrapText="1"/>
    </xf>
    <xf numFmtId="0" fontId="1" fillId="0" borderId="39" xfId="0" applyFont="1" applyBorder="1" applyAlignment="1">
      <alignment horizontal="right"/>
    </xf>
    <xf numFmtId="0" fontId="8" fillId="0" borderId="0" xfId="0" applyFont="1" applyAlignment="1">
      <alignment horizontal="center"/>
    </xf>
    <xf numFmtId="0" fontId="13" fillId="0" borderId="32" xfId="0" applyFont="1" applyBorder="1" applyAlignment="1">
      <alignment horizontal="left" wrapText="1"/>
    </xf>
    <xf numFmtId="0" fontId="1" fillId="0" borderId="37" xfId="0" applyFont="1" applyBorder="1" applyAlignment="1">
      <alignment horizontal="right" wrapText="1"/>
    </xf>
    <xf numFmtId="164" fontId="0" fillId="14" borderId="45" xfId="1" applyNumberFormat="1" applyFont="1" applyFill="1" applyBorder="1" applyAlignment="1">
      <alignment horizontal="center" vertical="center"/>
    </xf>
    <xf numFmtId="44" fontId="0" fillId="14" borderId="45" xfId="1" applyFont="1" applyFill="1" applyBorder="1" applyAlignment="1">
      <alignment vertical="center"/>
    </xf>
    <xf numFmtId="44" fontId="0" fillId="14" borderId="8" xfId="1" applyFont="1" applyFill="1" applyBorder="1" applyAlignment="1">
      <alignment vertical="center"/>
    </xf>
    <xf numFmtId="44" fontId="0" fillId="14" borderId="10" xfId="1" applyFont="1" applyFill="1" applyBorder="1" applyAlignment="1">
      <alignment vertical="center"/>
    </xf>
    <xf numFmtId="0" fontId="1" fillId="0" borderId="0" xfId="0" applyFont="1" applyAlignment="1">
      <alignment horizontal="left" vertical="top" wrapText="1"/>
    </xf>
    <xf numFmtId="0" fontId="0" fillId="0" borderId="0" xfId="0" applyAlignment="1">
      <alignment horizontal="left" vertical="top"/>
    </xf>
    <xf numFmtId="0" fontId="8" fillId="0" borderId="50" xfId="0" applyFont="1" applyBorder="1" applyAlignment="1">
      <alignment horizontal="center"/>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5" fillId="0" borderId="0" xfId="0" applyFont="1" applyAlignment="1">
      <alignment horizontal="justify" vertical="top" wrapText="1"/>
    </xf>
    <xf numFmtId="0" fontId="1" fillId="0" borderId="64" xfId="0" applyFont="1" applyBorder="1" applyAlignment="1">
      <alignment horizontal="left" vertical="top" wrapText="1"/>
    </xf>
    <xf numFmtId="0" fontId="1" fillId="0" borderId="0" xfId="0" applyFont="1" applyAlignment="1">
      <alignment horizontal="left" vertical="top"/>
    </xf>
    <xf numFmtId="0" fontId="4" fillId="0" borderId="0" xfId="0" applyFont="1" applyAlignment="1">
      <alignment horizontal="left" vertical="top" wrapText="1"/>
    </xf>
    <xf numFmtId="0" fontId="8" fillId="0" borderId="47" xfId="0" applyFont="1" applyBorder="1" applyAlignment="1">
      <alignment horizontal="center"/>
    </xf>
    <xf numFmtId="0" fontId="8" fillId="0" borderId="48" xfId="0" applyFont="1" applyBorder="1" applyAlignment="1">
      <alignment horizontal="center"/>
    </xf>
    <xf numFmtId="0" fontId="4" fillId="0" borderId="38" xfId="0" applyFont="1" applyBorder="1" applyAlignment="1">
      <alignment horizontal="justify" vertical="top" wrapText="1"/>
    </xf>
    <xf numFmtId="0" fontId="4" fillId="0" borderId="0" xfId="0" applyFont="1" applyAlignment="1">
      <alignment horizontal="justify" vertical="top" wrapText="1"/>
    </xf>
    <xf numFmtId="0" fontId="4" fillId="13" borderId="0" xfId="0" applyFont="1" applyFill="1" applyAlignment="1">
      <alignment horizontal="center"/>
    </xf>
    <xf numFmtId="0" fontId="0" fillId="0" borderId="0" xfId="0" applyAlignment="1">
      <alignment horizontal="center"/>
    </xf>
    <xf numFmtId="0" fontId="15" fillId="11" borderId="51" xfId="0" applyFont="1" applyFill="1" applyBorder="1" applyAlignment="1">
      <alignment horizontal="center" vertical="center" wrapText="1"/>
    </xf>
    <xf numFmtId="0" fontId="15" fillId="11" borderId="52" xfId="0" applyFont="1" applyFill="1" applyBorder="1" applyAlignment="1">
      <alignment horizontal="center" vertical="center" wrapText="1"/>
    </xf>
    <xf numFmtId="0" fontId="15" fillId="11" borderId="53" xfId="0" applyFont="1" applyFill="1" applyBorder="1" applyAlignment="1">
      <alignment horizontal="center" vertical="center" wrapText="1"/>
    </xf>
    <xf numFmtId="0" fontId="4" fillId="12" borderId="54" xfId="0" applyFont="1" applyFill="1" applyBorder="1" applyAlignment="1">
      <alignment horizontal="center" vertical="center" wrapText="1"/>
    </xf>
    <xf numFmtId="0" fontId="4" fillId="12" borderId="55" xfId="0" applyFont="1" applyFill="1" applyBorder="1" applyAlignment="1">
      <alignment horizontal="center" vertical="center" wrapText="1"/>
    </xf>
    <xf numFmtId="0" fontId="11" fillId="0" borderId="33" xfId="0" applyFont="1" applyBorder="1" applyAlignment="1">
      <alignment horizontal="center" vertical="center"/>
    </xf>
    <xf numFmtId="0" fontId="4" fillId="12" borderId="54" xfId="0" applyFont="1" applyFill="1" applyBorder="1" applyAlignment="1">
      <alignment horizontal="center" vertical="center"/>
    </xf>
    <xf numFmtId="0" fontId="4" fillId="12" borderId="78" xfId="0" applyFont="1" applyFill="1" applyBorder="1" applyAlignment="1">
      <alignment horizontal="center" vertical="center"/>
    </xf>
    <xf numFmtId="0" fontId="1" fillId="0" borderId="44" xfId="0" applyFont="1" applyBorder="1" applyAlignment="1">
      <alignment horizontal="center"/>
    </xf>
    <xf numFmtId="0" fontId="1" fillId="0" borderId="30" xfId="0" applyFont="1" applyBorder="1" applyAlignment="1">
      <alignment horizontal="center"/>
    </xf>
    <xf numFmtId="0" fontId="1" fillId="0" borderId="45" xfId="0" applyFont="1" applyBorder="1" applyAlignment="1">
      <alignment horizontal="center"/>
    </xf>
    <xf numFmtId="0" fontId="4" fillId="0" borderId="0" xfId="0" applyFont="1" applyAlignment="1">
      <alignment horizontal="center" textRotation="90" wrapText="1"/>
    </xf>
    <xf numFmtId="0" fontId="8" fillId="13" borderId="0" xfId="0" applyFont="1" applyFill="1" applyAlignment="1">
      <alignment horizontal="center" textRotation="90"/>
    </xf>
    <xf numFmtId="0" fontId="8" fillId="0" borderId="18" xfId="0" applyFont="1" applyBorder="1" applyAlignment="1">
      <alignment horizontal="center"/>
    </xf>
    <xf numFmtId="0" fontId="8" fillId="0" borderId="19" xfId="0" applyFont="1" applyBorder="1" applyAlignment="1">
      <alignment horizontal="center"/>
    </xf>
    <xf numFmtId="0" fontId="8" fillId="0" borderId="26" xfId="0" applyFont="1" applyBorder="1" applyAlignment="1">
      <alignment horizontal="center"/>
    </xf>
    <xf numFmtId="44" fontId="4" fillId="0" borderId="0" xfId="1" applyFont="1" applyBorder="1" applyAlignment="1" applyProtection="1">
      <alignment horizontal="left"/>
      <protection locked="0"/>
    </xf>
    <xf numFmtId="9" fontId="20" fillId="0" borderId="19" xfId="0" applyNumberFormat="1" applyFont="1" applyBorder="1" applyAlignment="1">
      <alignment horizontal="left"/>
    </xf>
    <xf numFmtId="44" fontId="4" fillId="0" borderId="19" xfId="1" applyFont="1" applyBorder="1" applyAlignment="1" applyProtection="1">
      <alignment horizontal="left"/>
      <protection locked="0"/>
    </xf>
    <xf numFmtId="0" fontId="3" fillId="0" borderId="21" xfId="0" applyFont="1" applyBorder="1" applyAlignment="1">
      <alignment horizontal="center"/>
    </xf>
    <xf numFmtId="0" fontId="3" fillId="0" borderId="14" xfId="0" applyFont="1" applyBorder="1" applyAlignment="1">
      <alignment horizontal="center"/>
    </xf>
    <xf numFmtId="0" fontId="3" fillId="0" borderId="23" xfId="0" applyFont="1" applyBorder="1" applyAlignment="1">
      <alignment horizontal="center"/>
    </xf>
    <xf numFmtId="0" fontId="3" fillId="0" borderId="63" xfId="0" applyFont="1" applyBorder="1" applyAlignment="1">
      <alignment horizontal="center"/>
    </xf>
    <xf numFmtId="0" fontId="3" fillId="11" borderId="3" xfId="0" applyFont="1" applyFill="1" applyBorder="1" applyAlignment="1">
      <alignment horizontal="center"/>
    </xf>
    <xf numFmtId="0" fontId="3" fillId="11" borderId="8" xfId="0" applyFont="1" applyFill="1" applyBorder="1" applyAlignment="1">
      <alignment horizontal="center"/>
    </xf>
    <xf numFmtId="0" fontId="29" fillId="10" borderId="9" xfId="0" applyFont="1" applyFill="1" applyBorder="1" applyAlignment="1">
      <alignment horizontal="center"/>
    </xf>
    <xf numFmtId="0" fontId="29" fillId="10" borderId="10" xfId="0" applyFont="1" applyFill="1" applyBorder="1" applyAlignment="1">
      <alignment horizontal="center"/>
    </xf>
    <xf numFmtId="0" fontId="18" fillId="0" borderId="32" xfId="0" applyFont="1" applyBorder="1" applyAlignment="1">
      <alignment horizontal="left"/>
    </xf>
    <xf numFmtId="0" fontId="18" fillId="0" borderId="33" xfId="0" applyFont="1" applyBorder="1" applyAlignment="1">
      <alignment horizontal="left"/>
    </xf>
    <xf numFmtId="0" fontId="4" fillId="0" borderId="19" xfId="0" applyFont="1" applyBorder="1" applyAlignment="1" applyProtection="1">
      <alignment horizontal="left"/>
      <protection locked="0"/>
    </xf>
    <xf numFmtId="0" fontId="4" fillId="0" borderId="0" xfId="0" applyFont="1" applyAlignment="1" applyProtection="1">
      <alignment horizontal="left"/>
      <protection locked="0"/>
    </xf>
    <xf numFmtId="177" fontId="4" fillId="0" borderId="33" xfId="0" applyNumberFormat="1" applyFont="1" applyBorder="1" applyAlignment="1">
      <alignment horizontal="right"/>
    </xf>
    <xf numFmtId="177" fontId="4" fillId="0" borderId="0" xfId="0" applyNumberFormat="1" applyFont="1" applyAlignment="1">
      <alignment horizontal="right"/>
    </xf>
    <xf numFmtId="10" fontId="1" fillId="0" borderId="12" xfId="0" applyNumberFormat="1" applyFont="1" applyBorder="1" applyAlignment="1">
      <alignment horizontal="right"/>
    </xf>
    <xf numFmtId="10" fontId="1" fillId="0" borderId="13" xfId="0" applyNumberFormat="1" applyFont="1" applyBorder="1" applyAlignment="1">
      <alignment horizontal="right"/>
    </xf>
    <xf numFmtId="0" fontId="4" fillId="0" borderId="12" xfId="0" applyFont="1" applyBorder="1" applyAlignment="1">
      <alignment horizontal="center"/>
    </xf>
    <xf numFmtId="0" fontId="4" fillId="0" borderId="14" xfId="0" applyFont="1" applyBorder="1" applyAlignment="1">
      <alignment horizontal="center"/>
    </xf>
    <xf numFmtId="0" fontId="1" fillId="0" borderId="0" xfId="0" applyFont="1" applyAlignment="1" applyProtection="1">
      <alignment horizontal="center"/>
      <protection locked="0"/>
    </xf>
    <xf numFmtId="0" fontId="1" fillId="0" borderId="5" xfId="0" applyFont="1" applyBorder="1" applyAlignment="1">
      <alignment horizontal="center"/>
    </xf>
    <xf numFmtId="0" fontId="4" fillId="0" borderId="19" xfId="0" applyFont="1" applyBorder="1" applyAlignment="1">
      <alignment horizontal="left"/>
    </xf>
    <xf numFmtId="0" fontId="0" fillId="0" borderId="0" xfId="0" applyAlignment="1" applyProtection="1">
      <alignment horizontal="left"/>
      <protection locked="0"/>
    </xf>
    <xf numFmtId="44" fontId="0" fillId="0" borderId="33" xfId="0" applyNumberFormat="1" applyBorder="1" applyAlignment="1">
      <alignment horizontal="center"/>
    </xf>
    <xf numFmtId="1" fontId="4" fillId="0" borderId="0" xfId="0" applyNumberFormat="1" applyFont="1" applyAlignment="1" applyProtection="1">
      <alignment horizontal="center"/>
      <protection locked="0"/>
    </xf>
    <xf numFmtId="44" fontId="0" fillId="0" borderId="0" xfId="1" applyFont="1" applyBorder="1" applyAlignment="1">
      <alignment horizontal="center"/>
    </xf>
    <xf numFmtId="0" fontId="1" fillId="14" borderId="0" xfId="0" applyFont="1" applyFill="1" applyAlignment="1">
      <alignment horizontal="center"/>
    </xf>
    <xf numFmtId="0" fontId="1" fillId="0" borderId="0" xfId="0" applyFont="1" applyAlignment="1">
      <alignment horizontal="center"/>
    </xf>
    <xf numFmtId="0" fontId="1" fillId="0" borderId="0" xfId="0" applyFont="1" applyAlignment="1" applyProtection="1">
      <alignment horizontal="left"/>
      <protection locked="0"/>
    </xf>
    <xf numFmtId="0" fontId="0" fillId="0" borderId="5" xfId="0" applyBorder="1" applyAlignment="1">
      <alignment horizontal="center"/>
    </xf>
    <xf numFmtId="0" fontId="4" fillId="0" borderId="44" xfId="0" applyFont="1" applyBorder="1" applyAlignment="1">
      <alignment horizontal="center"/>
    </xf>
    <xf numFmtId="0" fontId="4" fillId="0" borderId="30" xfId="0" applyFont="1" applyBorder="1" applyAlignment="1">
      <alignment horizontal="center"/>
    </xf>
    <xf numFmtId="0" fontId="4" fillId="0" borderId="45" xfId="0" applyFont="1" applyBorder="1" applyAlignment="1">
      <alignment horizontal="center"/>
    </xf>
    <xf numFmtId="0" fontId="4" fillId="0" borderId="49" xfId="0" applyFont="1" applyBorder="1" applyAlignment="1">
      <alignment horizontal="center"/>
    </xf>
    <xf numFmtId="0" fontId="4" fillId="0" borderId="60" xfId="0" applyFont="1" applyBorder="1" applyAlignment="1">
      <alignment horizontal="center"/>
    </xf>
    <xf numFmtId="0" fontId="4" fillId="0" borderId="65" xfId="0" applyFont="1" applyBorder="1" applyAlignment="1">
      <alignment horizontal="center"/>
    </xf>
    <xf numFmtId="0" fontId="1" fillId="0" borderId="28" xfId="0" applyFont="1" applyBorder="1" applyAlignment="1">
      <alignment horizontal="center"/>
    </xf>
    <xf numFmtId="10" fontId="1" fillId="0" borderId="16" xfId="0" applyNumberFormat="1" applyFont="1" applyBorder="1" applyAlignment="1">
      <alignment horizontal="right"/>
    </xf>
    <xf numFmtId="10" fontId="1" fillId="0" borderId="17" xfId="0" applyNumberFormat="1" applyFont="1" applyBorder="1" applyAlignment="1">
      <alignment horizontal="right"/>
    </xf>
    <xf numFmtId="0" fontId="4" fillId="0" borderId="3" xfId="0" applyFont="1" applyBorder="1" applyAlignment="1">
      <alignment horizontal="center"/>
    </xf>
    <xf numFmtId="0" fontId="4" fillId="0" borderId="8" xfId="0" applyFont="1" applyBorder="1" applyAlignment="1">
      <alignment horizontal="center"/>
    </xf>
    <xf numFmtId="0" fontId="4" fillId="14" borderId="49" xfId="0" applyFont="1" applyFill="1" applyBorder="1" applyAlignment="1">
      <alignment horizontal="center"/>
    </xf>
    <xf numFmtId="0" fontId="4" fillId="14" borderId="36" xfId="0" applyFont="1" applyFill="1" applyBorder="1" applyAlignment="1">
      <alignment horizontal="center"/>
    </xf>
    <xf numFmtId="0" fontId="4" fillId="0" borderId="0" xfId="0" applyFont="1" applyAlignment="1">
      <alignment horizontal="center"/>
    </xf>
    <xf numFmtId="0" fontId="1" fillId="0" borderId="73" xfId="0" applyFont="1" applyBorder="1" applyAlignment="1">
      <alignment horizontal="center" wrapText="1"/>
    </xf>
    <xf numFmtId="0" fontId="1" fillId="0" borderId="7" xfId="0" applyFont="1" applyBorder="1" applyAlignment="1">
      <alignment horizontal="center" wrapText="1"/>
    </xf>
    <xf numFmtId="0" fontId="1" fillId="0" borderId="74" xfId="0" applyFont="1" applyBorder="1" applyAlignment="1">
      <alignment horizontal="center" wrapText="1"/>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37" xfId="0" applyFont="1" applyBorder="1" applyAlignment="1">
      <alignment horizontal="center" wrapText="1"/>
    </xf>
    <xf numFmtId="0" fontId="1" fillId="0" borderId="11" xfId="0" applyFont="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1" fillId="0" borderId="20" xfId="0" applyFont="1" applyBorder="1" applyAlignment="1">
      <alignment horizontal="center" wrapText="1"/>
    </xf>
    <xf numFmtId="0" fontId="1" fillId="0" borderId="5" xfId="0" applyFont="1" applyBorder="1" applyAlignment="1">
      <alignment horizontal="center" wrapText="1"/>
    </xf>
    <xf numFmtId="0" fontId="1" fillId="0" borderId="24" xfId="0" applyFont="1" applyBorder="1" applyAlignment="1">
      <alignment horizontal="center" wrapText="1"/>
    </xf>
    <xf numFmtId="175" fontId="4" fillId="0" borderId="33" xfId="0" applyNumberFormat="1" applyFont="1" applyBorder="1" applyAlignment="1" applyProtection="1">
      <alignment horizontal="center"/>
      <protection locked="0"/>
    </xf>
    <xf numFmtId="175" fontId="4" fillId="0" borderId="0" xfId="0" applyNumberFormat="1" applyFont="1" applyAlignment="1" applyProtection="1">
      <alignment horizontal="center"/>
      <protection locked="0"/>
    </xf>
    <xf numFmtId="0" fontId="4" fillId="14" borderId="44" xfId="0" applyFont="1" applyFill="1" applyBorder="1" applyAlignment="1">
      <alignment horizontal="center"/>
    </xf>
    <xf numFmtId="0" fontId="4" fillId="14" borderId="45" xfId="0" applyFont="1" applyFill="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6" xfId="0" applyFont="1" applyBorder="1" applyAlignment="1">
      <alignment horizontal="center"/>
    </xf>
    <xf numFmtId="169" fontId="1" fillId="0" borderId="0" xfId="1" applyNumberFormat="1" applyFont="1" applyBorder="1" applyAlignment="1">
      <alignment horizontal="left"/>
    </xf>
    <xf numFmtId="169" fontId="1" fillId="0" borderId="71" xfId="1" applyNumberFormat="1" applyFont="1" applyBorder="1" applyAlignment="1">
      <alignment horizontal="left"/>
    </xf>
    <xf numFmtId="0" fontId="4" fillId="0" borderId="58" xfId="0" applyFont="1" applyBorder="1" applyAlignment="1">
      <alignment horizontal="center"/>
    </xf>
    <xf numFmtId="0" fontId="4" fillId="0" borderId="59" xfId="0" applyFont="1" applyBorder="1" applyAlignment="1">
      <alignment horizontal="center"/>
    </xf>
    <xf numFmtId="0" fontId="4" fillId="0" borderId="55" xfId="0" applyFont="1" applyBorder="1" applyAlignment="1">
      <alignment horizontal="center"/>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26" xfId="0" applyFont="1" applyBorder="1" applyAlignment="1">
      <alignment horizontal="center"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6" xfId="0" applyFont="1" applyBorder="1" applyAlignment="1">
      <alignment horizontal="center" vertical="top" wrapText="1"/>
    </xf>
    <xf numFmtId="0" fontId="1" fillId="0" borderId="35" xfId="0" applyFont="1" applyBorder="1" applyAlignment="1">
      <alignment horizontal="center" vertical="top" wrapText="1"/>
    </xf>
    <xf numFmtId="0" fontId="1" fillId="0" borderId="0" xfId="0" applyFont="1" applyAlignment="1">
      <alignment horizontal="center" vertical="top" wrapText="1"/>
    </xf>
    <xf numFmtId="0" fontId="1" fillId="0" borderId="34" xfId="0" applyFont="1" applyBorder="1" applyAlignment="1">
      <alignment horizontal="center" vertical="top" wrapText="1"/>
    </xf>
    <xf numFmtId="0" fontId="1" fillId="0" borderId="58" xfId="0" applyFont="1" applyBorder="1" applyAlignment="1">
      <alignment horizontal="center"/>
    </xf>
    <xf numFmtId="0" fontId="1" fillId="0" borderId="59" xfId="0" applyFont="1" applyBorder="1" applyAlignment="1">
      <alignment horizontal="center"/>
    </xf>
    <xf numFmtId="0" fontId="1" fillId="0" borderId="55" xfId="0" applyFont="1" applyBorder="1" applyAlignment="1">
      <alignment horizontal="center"/>
    </xf>
    <xf numFmtId="0" fontId="4" fillId="0" borderId="33" xfId="0" applyFont="1" applyBorder="1" applyAlignment="1" applyProtection="1">
      <alignment horizontal="left"/>
      <protection locked="0"/>
    </xf>
    <xf numFmtId="0" fontId="1" fillId="0" borderId="49" xfId="0" applyFont="1" applyBorder="1" applyAlignment="1">
      <alignment horizontal="center"/>
    </xf>
    <xf numFmtId="0" fontId="1" fillId="0" borderId="60" xfId="0" applyFont="1" applyBorder="1" applyAlignment="1">
      <alignment horizontal="center"/>
    </xf>
    <xf numFmtId="0" fontId="1" fillId="0" borderId="36"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right"/>
    </xf>
    <xf numFmtId="0" fontId="1" fillId="0" borderId="26" xfId="0" applyFont="1" applyBorder="1" applyAlignment="1">
      <alignment horizontal="right"/>
    </xf>
    <xf numFmtId="0" fontId="4" fillId="0" borderId="33" xfId="0" applyFont="1" applyBorder="1" applyAlignment="1">
      <alignment horizontal="left"/>
    </xf>
    <xf numFmtId="44" fontId="0" fillId="0" borderId="3" xfId="0" applyNumberFormat="1" applyBorder="1" applyAlignment="1">
      <alignment horizontal="center"/>
    </xf>
    <xf numFmtId="0" fontId="25" fillId="0" borderId="7" xfId="0" applyFont="1" applyBorder="1" applyAlignment="1">
      <alignment horizontal="center"/>
    </xf>
    <xf numFmtId="44" fontId="4" fillId="0" borderId="61" xfId="0" applyNumberFormat="1" applyFont="1" applyBorder="1" applyAlignment="1">
      <alignment horizontal="center"/>
    </xf>
    <xf numFmtId="44" fontId="4" fillId="0" borderId="72" xfId="0" applyNumberFormat="1" applyFont="1" applyBorder="1" applyAlignment="1">
      <alignment horizontal="center"/>
    </xf>
    <xf numFmtId="14" fontId="4" fillId="0" borderId="0" xfId="0" applyNumberFormat="1" applyFont="1" applyAlignment="1">
      <alignment horizontal="left"/>
    </xf>
    <xf numFmtId="0" fontId="1" fillId="0" borderId="7" xfId="0" applyFont="1" applyBorder="1" applyAlignment="1">
      <alignment horizontal="center"/>
    </xf>
    <xf numFmtId="0" fontId="1" fillId="0" borderId="0" xfId="0" applyFont="1" applyAlignment="1">
      <alignment horizontal="center" wrapText="1"/>
    </xf>
    <xf numFmtId="44" fontId="1" fillId="0" borderId="3" xfId="0" applyNumberFormat="1" applyFont="1" applyBorder="1" applyAlignment="1">
      <alignment horizontal="center"/>
    </xf>
    <xf numFmtId="44" fontId="0" fillId="0" borderId="28" xfId="0" applyNumberFormat="1" applyBorder="1" applyAlignment="1">
      <alignment horizontal="center"/>
    </xf>
    <xf numFmtId="44" fontId="0" fillId="0" borderId="61" xfId="0" applyNumberFormat="1" applyBorder="1" applyAlignment="1">
      <alignment horizontal="center"/>
    </xf>
    <xf numFmtId="44" fontId="0" fillId="0" borderId="72" xfId="0" applyNumberFormat="1" applyBorder="1" applyAlignment="1">
      <alignment horizontal="center"/>
    </xf>
    <xf numFmtId="166" fontId="4" fillId="0" borderId="0" xfId="3" applyNumberFormat="1" applyFont="1" applyFill="1" applyAlignment="1">
      <alignment horizontal="right"/>
    </xf>
    <xf numFmtId="44" fontId="0" fillId="0" borderId="14" xfId="0" applyNumberFormat="1" applyBorder="1" applyAlignment="1">
      <alignment horizontal="center"/>
    </xf>
    <xf numFmtId="177" fontId="4" fillId="0" borderId="0" xfId="0" applyNumberFormat="1" applyFont="1" applyAlignment="1">
      <alignment horizontal="left"/>
    </xf>
    <xf numFmtId="166" fontId="4" fillId="0" borderId="0" xfId="3" applyNumberFormat="1" applyFont="1" applyFill="1" applyBorder="1" applyAlignment="1" applyProtection="1">
      <alignment horizontal="right"/>
    </xf>
    <xf numFmtId="170" fontId="0" fillId="0" borderId="0" xfId="1" applyNumberFormat="1" applyFont="1" applyFill="1" applyAlignment="1">
      <alignment horizontal="left"/>
    </xf>
    <xf numFmtId="170" fontId="0" fillId="0" borderId="71" xfId="1" applyNumberFormat="1" applyFont="1" applyFill="1" applyBorder="1" applyAlignment="1">
      <alignment horizontal="left"/>
    </xf>
    <xf numFmtId="44" fontId="0" fillId="0" borderId="2" xfId="0" applyNumberFormat="1" applyBorder="1" applyAlignment="1">
      <alignment horizontal="center"/>
    </xf>
    <xf numFmtId="9" fontId="4" fillId="0" borderId="0" xfId="0" applyNumberFormat="1" applyFont="1" applyAlignment="1">
      <alignment horizontal="center"/>
    </xf>
    <xf numFmtId="44" fontId="4" fillId="0" borderId="0" xfId="0" applyNumberFormat="1" applyFont="1" applyAlignment="1">
      <alignment horizontal="center"/>
    </xf>
    <xf numFmtId="44" fontId="4" fillId="0" borderId="76" xfId="0" applyNumberFormat="1" applyFont="1" applyBorder="1" applyAlignment="1">
      <alignment horizontal="center"/>
    </xf>
    <xf numFmtId="44" fontId="4" fillId="0" borderId="77" xfId="0" applyNumberFormat="1" applyFont="1" applyBorder="1" applyAlignment="1">
      <alignment horizontal="center"/>
    </xf>
    <xf numFmtId="0" fontId="11" fillId="12" borderId="18" xfId="0" applyFont="1" applyFill="1" applyBorder="1" applyAlignment="1">
      <alignment horizontal="center"/>
    </xf>
    <xf numFmtId="0" fontId="11" fillId="12" borderId="19" xfId="0" applyFont="1" applyFill="1" applyBorder="1" applyAlignment="1">
      <alignment horizontal="center"/>
    </xf>
    <xf numFmtId="0" fontId="11" fillId="12" borderId="26" xfId="0" applyFont="1" applyFill="1" applyBorder="1" applyAlignment="1">
      <alignment horizontal="center"/>
    </xf>
    <xf numFmtId="0" fontId="11" fillId="12" borderId="58" xfId="0" applyFont="1" applyFill="1" applyBorder="1" applyAlignment="1">
      <alignment horizontal="center"/>
    </xf>
    <xf numFmtId="0" fontId="11" fillId="12" borderId="59" xfId="0" applyFont="1" applyFill="1" applyBorder="1" applyAlignment="1">
      <alignment horizontal="center"/>
    </xf>
    <xf numFmtId="0" fontId="11" fillId="12" borderId="55" xfId="0" applyFont="1" applyFill="1" applyBorder="1" applyAlignment="1">
      <alignment horizontal="center"/>
    </xf>
    <xf numFmtId="167" fontId="1" fillId="0" borderId="16" xfId="3" applyNumberFormat="1" applyFont="1" applyFill="1" applyBorder="1" applyAlignment="1">
      <alignment horizontal="center"/>
    </xf>
    <xf numFmtId="167" fontId="5" fillId="0" borderId="17" xfId="3" applyNumberFormat="1" applyFont="1" applyFill="1" applyBorder="1" applyAlignment="1">
      <alignment horizontal="center"/>
    </xf>
    <xf numFmtId="167" fontId="5" fillId="0" borderId="25" xfId="3" applyNumberFormat="1" applyFont="1" applyFill="1" applyBorder="1" applyAlignment="1">
      <alignment horizontal="center"/>
    </xf>
    <xf numFmtId="0" fontId="5" fillId="0" borderId="0" xfId="0" applyFont="1" applyAlignment="1">
      <alignment horizontal="left" vertical="top" wrapText="1"/>
    </xf>
    <xf numFmtId="0" fontId="5" fillId="0" borderId="34" xfId="0" applyFont="1" applyBorder="1" applyAlignment="1">
      <alignment horizontal="left" vertical="top" wrapText="1"/>
    </xf>
    <xf numFmtId="167" fontId="5" fillId="0" borderId="12" xfId="3" applyNumberFormat="1" applyFont="1" applyFill="1" applyBorder="1" applyAlignment="1">
      <alignment horizontal="right"/>
    </xf>
    <xf numFmtId="167" fontId="5" fillId="0" borderId="13" xfId="3" applyNumberFormat="1" applyFont="1" applyFill="1" applyBorder="1" applyAlignment="1">
      <alignment horizontal="right"/>
    </xf>
    <xf numFmtId="0" fontId="4" fillId="12" borderId="30" xfId="0" applyFont="1" applyFill="1" applyBorder="1" applyAlignment="1">
      <alignment horizontal="center" vertical="center"/>
    </xf>
    <xf numFmtId="0" fontId="4" fillId="12" borderId="45" xfId="0" applyFont="1" applyFill="1" applyBorder="1" applyAlignment="1">
      <alignment horizontal="center" vertical="center"/>
    </xf>
    <xf numFmtId="0" fontId="4" fillId="12" borderId="30" xfId="0" applyFont="1" applyFill="1" applyBorder="1" applyAlignment="1">
      <alignment horizontal="center" vertical="center" wrapText="1"/>
    </xf>
    <xf numFmtId="0" fontId="4" fillId="12" borderId="9" xfId="0" applyFont="1" applyFill="1" applyBorder="1" applyAlignment="1">
      <alignment horizontal="center" vertical="center"/>
    </xf>
    <xf numFmtId="0" fontId="4" fillId="12" borderId="44" xfId="0" applyFont="1" applyFill="1" applyBorder="1" applyAlignment="1">
      <alignment horizontal="center" vertical="center"/>
    </xf>
    <xf numFmtId="0" fontId="4" fillId="12" borderId="15" xfId="0" applyFont="1" applyFill="1" applyBorder="1" applyAlignment="1">
      <alignment horizontal="center" vertical="center"/>
    </xf>
    <xf numFmtId="0" fontId="1" fillId="0" borderId="34" xfId="0" applyFont="1" applyBorder="1" applyAlignment="1">
      <alignment horizontal="left" vertical="top" wrapText="1"/>
    </xf>
    <xf numFmtId="0" fontId="13" fillId="0" borderId="0" xfId="0" applyFont="1" applyAlignment="1">
      <alignment horizontal="center" textRotation="90"/>
    </xf>
    <xf numFmtId="0" fontId="5" fillId="0" borderId="33" xfId="0" applyFont="1" applyBorder="1" applyAlignment="1">
      <alignment horizontal="left" vertical="top" wrapText="1"/>
    </xf>
    <xf numFmtId="0" fontId="5" fillId="0" borderId="37" xfId="0" applyFont="1" applyBorder="1" applyAlignment="1">
      <alignment horizontal="left" vertical="top" wrapText="1"/>
    </xf>
    <xf numFmtId="0" fontId="4" fillId="7" borderId="66" xfId="0" applyFont="1" applyFill="1" applyBorder="1" applyAlignment="1">
      <alignment horizontal="center" vertical="center" wrapText="1"/>
    </xf>
    <xf numFmtId="0" fontId="4" fillId="7" borderId="67" xfId="0" applyFont="1" applyFill="1" applyBorder="1" applyAlignment="1">
      <alignment horizontal="center" vertical="center" wrapText="1"/>
    </xf>
    <xf numFmtId="0" fontId="5" fillId="4" borderId="35" xfId="0" applyFont="1" applyFill="1" applyBorder="1" applyAlignment="1">
      <alignment horizontal="center"/>
    </xf>
    <xf numFmtId="0" fontId="0" fillId="4" borderId="34" xfId="0" applyFill="1" applyBorder="1" applyAlignment="1">
      <alignment horizontal="center"/>
    </xf>
    <xf numFmtId="0" fontId="5" fillId="4" borderId="32" xfId="0" applyFont="1" applyFill="1" applyBorder="1" applyAlignment="1">
      <alignment horizontal="center"/>
    </xf>
    <xf numFmtId="0" fontId="5" fillId="4" borderId="37" xfId="0" applyFont="1" applyFill="1" applyBorder="1" applyAlignment="1">
      <alignment horizontal="center"/>
    </xf>
    <xf numFmtId="0" fontId="1" fillId="3" borderId="44" xfId="0" applyFont="1" applyFill="1" applyBorder="1" applyAlignment="1">
      <alignment horizontal="center"/>
    </xf>
    <xf numFmtId="0" fontId="5" fillId="3" borderId="30" xfId="0" applyFont="1" applyFill="1" applyBorder="1" applyAlignment="1">
      <alignment horizontal="center"/>
    </xf>
    <xf numFmtId="0" fontId="5" fillId="3" borderId="45" xfId="0" applyFont="1" applyFill="1" applyBorder="1" applyAlignment="1">
      <alignment horizontal="center"/>
    </xf>
    <xf numFmtId="0" fontId="4" fillId="4" borderId="18" xfId="0" applyFont="1" applyFill="1" applyBorder="1" applyAlignment="1">
      <alignment horizontal="center"/>
    </xf>
    <xf numFmtId="0" fontId="4" fillId="4" borderId="26" xfId="0" applyFont="1" applyFill="1" applyBorder="1" applyAlignment="1">
      <alignment horizontal="center"/>
    </xf>
    <xf numFmtId="168" fontId="5" fillId="9" borderId="3" xfId="3" applyNumberFormat="1" applyFont="1" applyFill="1" applyBorder="1" applyAlignment="1" applyProtection="1">
      <alignment horizontal="center"/>
    </xf>
    <xf numFmtId="168" fontId="5" fillId="9" borderId="8" xfId="3" applyNumberFormat="1" applyFont="1" applyFill="1" applyBorder="1" applyAlignment="1" applyProtection="1">
      <alignment horizontal="center"/>
    </xf>
    <xf numFmtId="0" fontId="5" fillId="0" borderId="32" xfId="0" applyFont="1" applyBorder="1" applyAlignment="1" applyProtection="1">
      <alignment horizontal="center"/>
      <protection locked="0"/>
    </xf>
    <xf numFmtId="0" fontId="5" fillId="0" borderId="33" xfId="0" applyFont="1" applyBorder="1" applyAlignment="1" applyProtection="1">
      <alignment horizontal="center"/>
      <protection locked="0"/>
    </xf>
    <xf numFmtId="0" fontId="5" fillId="0" borderId="37" xfId="0" applyFont="1" applyBorder="1" applyAlignment="1" applyProtection="1">
      <alignment horizontal="center"/>
      <protection locked="0"/>
    </xf>
    <xf numFmtId="0" fontId="5" fillId="3" borderId="44" xfId="0" applyFont="1" applyFill="1" applyBorder="1" applyAlignment="1">
      <alignment horizontal="center"/>
    </xf>
    <xf numFmtId="0" fontId="0" fillId="0" borderId="0" xfId="0" applyAlignment="1" applyProtection="1">
      <alignment horizontal="center"/>
      <protection locked="0"/>
    </xf>
    <xf numFmtId="0" fontId="4" fillId="9" borderId="44" xfId="0" applyFont="1" applyFill="1" applyBorder="1" applyAlignment="1">
      <alignment horizontal="center"/>
    </xf>
    <xf numFmtId="0" fontId="4" fillId="9" borderId="30" xfId="0" applyFont="1" applyFill="1" applyBorder="1" applyAlignment="1">
      <alignment horizontal="center"/>
    </xf>
    <xf numFmtId="0" fontId="4" fillId="9" borderId="45" xfId="0" applyFont="1" applyFill="1" applyBorder="1" applyAlignment="1">
      <alignment horizontal="center"/>
    </xf>
    <xf numFmtId="164" fontId="5" fillId="9" borderId="9" xfId="1" applyNumberFormat="1" applyFont="1" applyFill="1" applyBorder="1" applyAlignment="1" applyProtection="1">
      <alignment horizontal="center"/>
    </xf>
    <xf numFmtId="164" fontId="5" fillId="9" borderId="10" xfId="1" applyNumberFormat="1" applyFont="1" applyFill="1" applyBorder="1" applyAlignment="1" applyProtection="1">
      <alignment horizontal="center"/>
    </xf>
    <xf numFmtId="0" fontId="5" fillId="9" borderId="11" xfId="0" applyFont="1" applyFill="1" applyBorder="1" applyAlignment="1">
      <alignment horizontal="left"/>
    </xf>
    <xf numFmtId="0" fontId="5" fillId="9" borderId="3" xfId="0" applyFont="1" applyFill="1" applyBorder="1" applyAlignment="1">
      <alignment horizontal="left"/>
    </xf>
    <xf numFmtId="0" fontId="0" fillId="4" borderId="35" xfId="0" applyFill="1" applyBorder="1" applyAlignment="1">
      <alignment horizontal="center"/>
    </xf>
    <xf numFmtId="167" fontId="5" fillId="9" borderId="3" xfId="0" applyNumberFormat="1" applyFont="1" applyFill="1" applyBorder="1" applyAlignment="1">
      <alignment horizontal="center"/>
    </xf>
    <xf numFmtId="167" fontId="5" fillId="9" borderId="8" xfId="0" applyNumberFormat="1" applyFont="1" applyFill="1" applyBorder="1" applyAlignment="1">
      <alignment horizontal="center"/>
    </xf>
    <xf numFmtId="168" fontId="5" fillId="0" borderId="3" xfId="0" applyNumberFormat="1" applyFont="1" applyBorder="1" applyAlignment="1" applyProtection="1">
      <alignment horizontal="center"/>
      <protection locked="0"/>
    </xf>
    <xf numFmtId="168" fontId="5" fillId="0" borderId="8" xfId="0" applyNumberFormat="1" applyFont="1" applyBorder="1" applyAlignment="1" applyProtection="1">
      <alignment horizontal="center"/>
      <protection locked="0"/>
    </xf>
    <xf numFmtId="0" fontId="12" fillId="6" borderId="51" xfId="0" applyFont="1" applyFill="1" applyBorder="1" applyAlignment="1">
      <alignment horizontal="center" vertical="center"/>
    </xf>
    <xf numFmtId="0" fontId="12" fillId="6" borderId="52" xfId="0" applyFont="1" applyFill="1" applyBorder="1" applyAlignment="1">
      <alignment horizontal="center" vertical="center"/>
    </xf>
    <xf numFmtId="0" fontId="12" fillId="6" borderId="53" xfId="0" applyFont="1" applyFill="1" applyBorder="1" applyAlignment="1">
      <alignment horizontal="center" vertical="center"/>
    </xf>
    <xf numFmtId="0" fontId="6" fillId="0" borderId="35" xfId="0" quotePrefix="1" applyFont="1" applyBorder="1" applyAlignment="1" applyProtection="1">
      <alignment horizontal="center"/>
      <protection locked="0"/>
    </xf>
    <xf numFmtId="0" fontId="6" fillId="0" borderId="34" xfId="0" applyFont="1" applyBorder="1" applyAlignment="1" applyProtection="1">
      <alignment horizontal="center"/>
      <protection locked="0"/>
    </xf>
    <xf numFmtId="0" fontId="3" fillId="0" borderId="0" xfId="0" applyFont="1" applyAlignment="1">
      <alignment horizontal="center"/>
    </xf>
    <xf numFmtId="0" fontId="4" fillId="3" borderId="4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3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86" xfId="0" applyFont="1" applyFill="1" applyBorder="1" applyAlignment="1">
      <alignment horizontal="center"/>
    </xf>
    <xf numFmtId="0" fontId="4" fillId="3" borderId="83" xfId="0" applyFont="1" applyFill="1" applyBorder="1" applyAlignment="1">
      <alignment horizontal="center"/>
    </xf>
    <xf numFmtId="0" fontId="4" fillId="4" borderId="58" xfId="0" applyFont="1" applyFill="1" applyBorder="1" applyAlignment="1">
      <alignment horizontal="center" vertical="center" wrapText="1"/>
    </xf>
    <xf numFmtId="0" fontId="4" fillId="4" borderId="59"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17" fillId="0" borderId="0" xfId="0" applyFont="1" applyAlignment="1">
      <alignment horizontal="right"/>
    </xf>
    <xf numFmtId="0" fontId="1" fillId="0" borderId="58" xfId="0" applyFont="1" applyBorder="1" applyAlignment="1">
      <alignment horizontal="center" vertical="center" textRotation="90" wrapText="1"/>
    </xf>
    <xf numFmtId="0" fontId="4" fillId="0" borderId="55" xfId="0" applyFont="1" applyBorder="1" applyAlignment="1">
      <alignment horizontal="center" vertical="center" wrapText="1"/>
    </xf>
    <xf numFmtId="0" fontId="4" fillId="0" borderId="44" xfId="0" applyFont="1" applyBorder="1" applyAlignment="1">
      <alignment horizontal="center" vertical="center"/>
    </xf>
    <xf numFmtId="0" fontId="4" fillId="0" borderId="30" xfId="0" applyFont="1" applyBorder="1" applyAlignment="1">
      <alignment horizontal="center" vertical="center"/>
    </xf>
    <xf numFmtId="0" fontId="4" fillId="0" borderId="45" xfId="0" applyFont="1" applyBorder="1" applyAlignment="1">
      <alignment horizontal="center" vertical="center"/>
    </xf>
    <xf numFmtId="0" fontId="11" fillId="0" borderId="0" xfId="0" applyFont="1" applyAlignment="1">
      <alignment horizontal="center"/>
    </xf>
    <xf numFmtId="0" fontId="4" fillId="0" borderId="36"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4" fillId="0" borderId="18"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35" xfId="0" applyFont="1" applyBorder="1" applyAlignment="1">
      <alignment horizontal="left" vertical="center" wrapText="1" indent="1"/>
    </xf>
    <xf numFmtId="0" fontId="4" fillId="0" borderId="34" xfId="0" applyFont="1" applyBorder="1" applyAlignment="1">
      <alignment horizontal="left" vertical="center" wrapText="1" indent="1"/>
    </xf>
    <xf numFmtId="0" fontId="4" fillId="0" borderId="32" xfId="0" applyFont="1" applyBorder="1" applyAlignment="1">
      <alignment horizontal="left" vertical="center" wrapText="1" indent="1"/>
    </xf>
    <xf numFmtId="0" fontId="4" fillId="0" borderId="37" xfId="0" applyFont="1" applyBorder="1" applyAlignment="1">
      <alignment horizontal="left" vertical="center" wrapText="1" indent="1"/>
    </xf>
    <xf numFmtId="0" fontId="11" fillId="0" borderId="33" xfId="0" applyFont="1" applyBorder="1" applyAlignment="1">
      <alignment horizontal="center"/>
    </xf>
    <xf numFmtId="0" fontId="4" fillId="0" borderId="44" xfId="0" applyFont="1" applyBorder="1" applyAlignment="1">
      <alignment horizontal="center" wrapText="1"/>
    </xf>
    <xf numFmtId="0" fontId="4" fillId="0" borderId="45" xfId="0" applyFont="1" applyBorder="1" applyAlignment="1">
      <alignment horizontal="center" wrapText="1"/>
    </xf>
    <xf numFmtId="10" fontId="1" fillId="0" borderId="21" xfId="0" applyNumberFormat="1" applyFont="1" applyBorder="1" applyAlignment="1">
      <alignment horizontal="center" vertical="center"/>
    </xf>
    <xf numFmtId="10" fontId="1" fillId="0" borderId="13" xfId="0" applyNumberFormat="1" applyFont="1" applyBorder="1" applyAlignment="1">
      <alignment horizontal="center" vertical="center"/>
    </xf>
    <xf numFmtId="0" fontId="4" fillId="0" borderId="68" xfId="0" applyFont="1" applyBorder="1" applyAlignment="1">
      <alignment horizontal="center" vertical="center"/>
    </xf>
    <xf numFmtId="0" fontId="4" fillId="0" borderId="70" xfId="0" applyFont="1" applyBorder="1" applyAlignment="1">
      <alignment horizontal="center" vertical="center"/>
    </xf>
    <xf numFmtId="0" fontId="1" fillId="0" borderId="35" xfId="0" applyFont="1" applyBorder="1" applyAlignment="1">
      <alignment horizontal="left" vertical="center" wrapText="1" indent="1"/>
    </xf>
    <xf numFmtId="0" fontId="0" fillId="0" borderId="0" xfId="0" applyAlignment="1">
      <alignment horizontal="left" vertical="center" wrapText="1" indent="1"/>
    </xf>
    <xf numFmtId="0" fontId="0" fillId="0" borderId="35" xfId="0" applyBorder="1" applyAlignment="1">
      <alignment horizontal="left" vertical="center" wrapText="1" indent="1"/>
    </xf>
    <xf numFmtId="0" fontId="20" fillId="0" borderId="18" xfId="0" applyFont="1" applyBorder="1" applyAlignment="1">
      <alignment horizontal="left" vertical="center" wrapText="1" indent="1"/>
    </xf>
    <xf numFmtId="0" fontId="20" fillId="0" borderId="19" xfId="0" applyFont="1" applyBorder="1" applyAlignment="1">
      <alignment horizontal="left" vertical="center" wrapText="1" indent="1"/>
    </xf>
    <xf numFmtId="0" fontId="20" fillId="0" borderId="26" xfId="0" applyFont="1" applyBorder="1" applyAlignment="1">
      <alignment horizontal="left" vertical="center" wrapText="1" indent="1"/>
    </xf>
    <xf numFmtId="0" fontId="20" fillId="0" borderId="35" xfId="0" applyFont="1" applyBorder="1" applyAlignment="1">
      <alignment horizontal="left" vertical="center" wrapText="1" indent="1"/>
    </xf>
    <xf numFmtId="0" fontId="20" fillId="0" borderId="0" xfId="0" applyFont="1" applyAlignment="1">
      <alignment horizontal="left" vertical="center" wrapText="1" indent="1"/>
    </xf>
    <xf numFmtId="0" fontId="20" fillId="0" borderId="34" xfId="0" applyFont="1" applyBorder="1" applyAlignment="1">
      <alignment horizontal="left" vertical="center" wrapText="1" indent="1"/>
    </xf>
    <xf numFmtId="0" fontId="20" fillId="0" borderId="32" xfId="0" applyFont="1" applyBorder="1" applyAlignment="1">
      <alignment horizontal="left" vertical="center" wrapText="1" indent="1"/>
    </xf>
    <xf numFmtId="0" fontId="20" fillId="0" borderId="33" xfId="0" applyFont="1" applyBorder="1" applyAlignment="1">
      <alignment horizontal="left" vertical="center" wrapText="1" indent="1"/>
    </xf>
    <xf numFmtId="0" fontId="20" fillId="0" borderId="37" xfId="0" applyFont="1" applyBorder="1" applyAlignment="1">
      <alignment horizontal="left" vertical="center" wrapText="1" indent="1"/>
    </xf>
    <xf numFmtId="0" fontId="1" fillId="0" borderId="23" xfId="0" applyFont="1" applyBorder="1" applyAlignment="1">
      <alignment horizontal="center" vertical="center"/>
    </xf>
    <xf numFmtId="0" fontId="1" fillId="0" borderId="63" xfId="0" applyFont="1" applyBorder="1" applyAlignment="1">
      <alignment horizontal="center" vertical="center"/>
    </xf>
    <xf numFmtId="0" fontId="4" fillId="0" borderId="66" xfId="0" applyFont="1" applyBorder="1" applyAlignment="1">
      <alignment horizontal="center" vertical="center" wrapText="1"/>
    </xf>
    <xf numFmtId="0" fontId="4" fillId="0" borderId="67" xfId="0" applyFont="1" applyBorder="1" applyAlignment="1">
      <alignment horizontal="center" vertical="center"/>
    </xf>
    <xf numFmtId="0" fontId="4" fillId="0" borderId="43" xfId="0" applyFont="1" applyBorder="1" applyAlignment="1">
      <alignment horizontal="center"/>
    </xf>
    <xf numFmtId="0" fontId="4" fillId="0" borderId="36" xfId="0" applyFont="1" applyBorder="1" applyAlignment="1">
      <alignment horizontal="center"/>
    </xf>
    <xf numFmtId="0" fontId="1" fillId="0" borderId="30" xfId="0" applyFont="1" applyBorder="1" applyAlignment="1">
      <alignment horizontal="center" vertical="center"/>
    </xf>
    <xf numFmtId="0" fontId="4" fillId="0" borderId="18" xfId="0" applyFont="1" applyBorder="1" applyAlignment="1">
      <alignment horizontal="center" vertical="center"/>
    </xf>
    <xf numFmtId="0" fontId="4" fillId="0" borderId="26" xfId="0" applyFont="1" applyBorder="1" applyAlignment="1">
      <alignment horizontal="center" vertical="center"/>
    </xf>
    <xf numFmtId="0" fontId="4" fillId="0" borderId="32" xfId="0" applyFont="1" applyBorder="1" applyAlignment="1">
      <alignment horizontal="center" vertical="center"/>
    </xf>
    <xf numFmtId="0" fontId="4" fillId="0" borderId="37" xfId="0" applyFont="1" applyBorder="1" applyAlignment="1">
      <alignment horizontal="center" vertical="center"/>
    </xf>
  </cellXfs>
  <cellStyles count="4">
    <cellStyle name="Currency" xfId="1" builtinId="4"/>
    <cellStyle name="Hyperlink" xfId="2" builtinId="8"/>
    <cellStyle name="Normal" xfId="0" builtinId="0"/>
    <cellStyle name="Percent" xfId="3" builtinId="5"/>
  </cellStyles>
  <dxfs count="78">
    <dxf>
      <font>
        <b/>
        <i val="0"/>
        <condense val="0"/>
        <extend val="0"/>
      </font>
      <fill>
        <patternFill>
          <bgColor indexed="26"/>
        </patternFill>
      </fill>
    </dxf>
    <dxf>
      <font>
        <b/>
        <i val="0"/>
        <condense val="0"/>
        <extend val="0"/>
      </font>
      <fill>
        <patternFill>
          <bgColor indexed="26"/>
        </patternFill>
      </fill>
    </dxf>
    <dxf>
      <font>
        <b/>
        <i val="0"/>
        <condense val="0"/>
        <extend val="0"/>
      </font>
      <fill>
        <patternFill>
          <bgColor indexed="26"/>
        </patternFill>
      </fill>
    </dxf>
    <dxf>
      <font>
        <b/>
        <i val="0"/>
        <condense val="0"/>
        <extend val="0"/>
      </font>
      <fill>
        <patternFill>
          <bgColor indexed="26"/>
        </patternFill>
      </fill>
    </dxf>
    <dxf>
      <font>
        <b/>
        <i val="0"/>
        <condense val="0"/>
        <extend val="0"/>
      </font>
      <fill>
        <patternFill>
          <bgColor indexed="26"/>
        </patternFill>
      </fill>
    </dxf>
    <dxf>
      <font>
        <b/>
        <i val="0"/>
        <condense val="0"/>
        <extend val="0"/>
      </font>
      <fill>
        <patternFill>
          <bgColor indexed="26"/>
        </patternFill>
      </fill>
    </dxf>
    <dxf>
      <font>
        <b/>
        <i val="0"/>
        <condense val="0"/>
        <extend val="0"/>
      </font>
      <fill>
        <patternFill>
          <bgColor indexed="26"/>
        </patternFill>
      </fill>
    </dxf>
    <dxf>
      <fill>
        <patternFill>
          <bgColor indexed="13"/>
        </patternFill>
      </fill>
      <border>
        <left style="thin">
          <color indexed="64"/>
        </left>
        <top style="thin">
          <color indexed="64"/>
        </top>
      </border>
    </dxf>
    <dxf>
      <fill>
        <patternFill>
          <bgColor indexed="13"/>
        </patternFill>
      </fill>
      <border>
        <right style="thin">
          <color indexed="64"/>
        </right>
        <top style="thin">
          <color indexed="64"/>
        </top>
      </border>
    </dxf>
    <dxf>
      <font>
        <color theme="0" tint="-0.24994659260841701"/>
      </font>
    </dxf>
    <dxf>
      <font>
        <color rgb="FFFF0000"/>
      </font>
      <fill>
        <patternFill>
          <bgColor rgb="FFFFFF00"/>
        </patternFill>
      </fill>
    </dxf>
    <dxf>
      <font>
        <strike val="0"/>
        <color theme="0" tint="-0.34998626667073579"/>
      </font>
      <border>
        <vertical/>
        <horizontal/>
      </border>
    </dxf>
    <dxf>
      <font>
        <color theme="0" tint="-0.14996795556505021"/>
      </font>
      <border>
        <left/>
        <right/>
        <bottom/>
      </border>
    </dxf>
    <dxf>
      <font>
        <color theme="0" tint="-0.14996795556505021"/>
      </font>
      <border>
        <left/>
        <right/>
        <top/>
        <bottom/>
      </border>
    </dxf>
    <dxf>
      <font>
        <color theme="0" tint="-4.9989318521683403E-2"/>
      </font>
      <border>
        <left/>
        <right/>
        <bottom/>
      </border>
    </dxf>
    <dxf>
      <font>
        <color theme="0" tint="-0.14996795556505021"/>
      </font>
    </dxf>
    <dxf>
      <font>
        <b/>
        <i val="0"/>
        <color rgb="FFFF0000"/>
      </font>
      <fill>
        <patternFill>
          <bgColor rgb="FFFFFF00"/>
        </patternFill>
      </fill>
    </dxf>
    <dxf>
      <font>
        <color theme="0" tint="-0.24994659260841701"/>
      </font>
    </dxf>
    <dxf>
      <font>
        <color rgb="FFFF0000"/>
      </font>
      <fill>
        <patternFill>
          <bgColor rgb="FFFFFF00"/>
        </patternFill>
      </fill>
    </dxf>
    <dxf>
      <font>
        <strike val="0"/>
        <color theme="0" tint="-0.14996795556505021"/>
      </font>
      <border>
        <left/>
        <right/>
        <bottom/>
        <vertical/>
        <horizontal/>
      </border>
    </dxf>
    <dxf>
      <font>
        <b/>
        <i val="0"/>
        <color rgb="FFFF0000"/>
      </font>
      <fill>
        <patternFill>
          <bgColor rgb="FFFFFF00"/>
        </patternFill>
      </fill>
    </dxf>
    <dxf>
      <font>
        <color theme="0" tint="-0.34998626667073579"/>
      </font>
    </dxf>
    <dxf>
      <font>
        <color theme="0" tint="-0.34998626667073579"/>
      </font>
    </dxf>
    <dxf>
      <fill>
        <patternFill>
          <bgColor rgb="FFFF0000"/>
        </patternFill>
      </fill>
    </dxf>
    <dxf>
      <font>
        <b/>
        <i val="0"/>
        <color rgb="FFFF0000"/>
      </font>
    </dxf>
    <dxf>
      <fill>
        <patternFill>
          <bgColor rgb="FFFFFF00"/>
        </patternFill>
      </fill>
    </dxf>
    <dxf>
      <fill>
        <patternFill>
          <bgColor rgb="FFFF0000"/>
        </patternFill>
      </fill>
    </dxf>
    <dxf>
      <font>
        <color theme="0" tint="-0.24994659260841701"/>
      </font>
      <fill>
        <patternFill patternType="none">
          <bgColor auto="1"/>
        </patternFill>
      </fill>
    </dxf>
    <dxf>
      <font>
        <color theme="0" tint="-0.34998626667073579"/>
      </font>
    </dxf>
    <dxf>
      <fill>
        <patternFill>
          <bgColor rgb="FFFFFF00"/>
        </patternFill>
      </fill>
    </dxf>
    <dxf>
      <fill>
        <patternFill>
          <bgColor rgb="FFFF0000"/>
        </patternFill>
      </fill>
    </dxf>
    <dxf>
      <font>
        <color rgb="FF808080"/>
      </font>
    </dxf>
    <dxf>
      <font>
        <color rgb="FF808080"/>
      </font>
    </dxf>
    <dxf>
      <font>
        <color rgb="FF808080"/>
      </font>
    </dxf>
    <dxf>
      <font>
        <color theme="0" tint="-0.34998626667073579"/>
      </font>
    </dxf>
    <dxf>
      <font>
        <color theme="0" tint="-0.34998626667073579"/>
      </font>
    </dxf>
    <dxf>
      <font>
        <b/>
        <i val="0"/>
        <color rgb="FFFF0000"/>
      </font>
    </dxf>
    <dxf>
      <font>
        <b/>
        <i val="0"/>
        <color rgb="FFFF0000"/>
      </font>
    </dxf>
    <dxf>
      <font>
        <b/>
        <i val="0"/>
        <color rgb="FFFF0000"/>
      </font>
    </dxf>
    <dxf>
      <font>
        <color theme="0" tint="-0.34998626667073579"/>
      </font>
    </dxf>
    <dxf>
      <font>
        <color theme="0" tint="-0.34998626667073579"/>
      </font>
    </dxf>
    <dxf>
      <font>
        <color theme="0" tint="-0.34998626667073579"/>
      </font>
    </dxf>
    <dxf>
      <font>
        <color rgb="FF808080"/>
      </font>
    </dxf>
    <dxf>
      <font>
        <color rgb="FF808080"/>
      </font>
    </dxf>
    <dxf>
      <font>
        <color rgb="FF808080"/>
      </font>
    </dxf>
    <dxf>
      <font>
        <color rgb="FF808080"/>
      </font>
    </dxf>
    <dxf>
      <font>
        <color rgb="FF808080"/>
      </font>
    </dxf>
    <dxf>
      <font>
        <b/>
        <i val="0"/>
        <color rgb="FFFF0000"/>
      </font>
    </dxf>
    <dxf>
      <font>
        <color theme="0" tint="-0.34998626667073579"/>
      </font>
    </dxf>
    <dxf>
      <font>
        <b/>
        <i val="0"/>
        <color rgb="FFFF0000"/>
      </font>
    </dxf>
    <dxf>
      <font>
        <b/>
        <i val="0"/>
        <color rgb="FFFF0000"/>
      </font>
    </dxf>
    <dxf>
      <font>
        <color rgb="FF808080"/>
      </font>
    </dxf>
    <dxf>
      <font>
        <color theme="0" tint="-0.14996795556505021"/>
      </font>
      <border>
        <vertical/>
        <horizontal/>
      </border>
    </dxf>
    <dxf>
      <font>
        <color rgb="FF808080"/>
      </font>
    </dxf>
    <dxf>
      <font>
        <color theme="0" tint="-0.14996795556505021"/>
      </font>
    </dxf>
    <dxf>
      <font>
        <color rgb="FF808080"/>
      </font>
    </dxf>
    <dxf>
      <font>
        <color rgb="FF808080"/>
      </font>
    </dxf>
    <dxf>
      <font>
        <color rgb="FF808080"/>
      </font>
    </dxf>
    <dxf>
      <font>
        <color theme="0" tint="-0.24994659260841701"/>
      </font>
      <fill>
        <patternFill patternType="none">
          <bgColor auto="1"/>
        </patternFill>
      </fill>
    </dxf>
    <dxf>
      <font>
        <color theme="0" tint="-0.14996795556505021"/>
      </font>
      <border>
        <vertical/>
        <horizontal/>
      </border>
    </dxf>
    <dxf>
      <font>
        <color theme="0" tint="-0.34998626667073579"/>
      </font>
    </dxf>
    <dxf>
      <font>
        <color theme="0" tint="-0.24994659260841701"/>
      </font>
    </dxf>
    <dxf>
      <font>
        <color theme="0" tint="-0.24994659260841701"/>
      </font>
    </dxf>
    <dxf>
      <font>
        <color theme="0" tint="-0.14996795556505021"/>
      </font>
    </dxf>
    <dxf>
      <font>
        <strike val="0"/>
        <color theme="0" tint="-0.14996795556505021"/>
      </font>
    </dxf>
    <dxf>
      <font>
        <color rgb="FF808080"/>
      </font>
    </dxf>
    <dxf>
      <font>
        <color rgb="FF808080"/>
      </font>
    </dxf>
    <dxf>
      <font>
        <color rgb="FF808080"/>
      </font>
    </dxf>
    <dxf>
      <font>
        <color rgb="FF808080"/>
      </font>
    </dxf>
    <dxf>
      <font>
        <color rgb="FF808080"/>
      </font>
    </dxf>
    <dxf>
      <font>
        <color rgb="FF808080"/>
      </font>
    </dxf>
    <dxf>
      <font>
        <color rgb="FFC0C0C0"/>
      </font>
    </dxf>
    <dxf>
      <font>
        <color rgb="FF808080"/>
      </font>
    </dxf>
    <dxf>
      <font>
        <color rgb="FF808080"/>
      </font>
    </dxf>
    <dxf>
      <font>
        <color rgb="FF808080"/>
      </font>
    </dxf>
    <dxf>
      <font>
        <color auto="1"/>
      </font>
      <fill>
        <patternFill patternType="none">
          <bgColor auto="1"/>
        </patternFill>
      </fill>
    </dxf>
    <dxf>
      <font>
        <color rgb="FF808080"/>
      </font>
    </dxf>
    <dxf>
      <font>
        <b/>
        <i val="0"/>
        <strike val="0"/>
        <color rgb="FFFF0000"/>
      </font>
      <fill>
        <patternFill patternType="none">
          <bgColor auto="1"/>
        </patternFill>
      </fill>
      <border>
        <left/>
        <right/>
        <top/>
        <bottom style="thin">
          <color auto="1"/>
        </bottom>
      </border>
    </dxf>
  </dxfs>
  <tableStyles count="0" defaultTableStyle="TableStyleMedium9" defaultPivotStyle="PivotStyleLight16"/>
  <colors>
    <mruColors>
      <color rgb="FFFFC0C0"/>
      <color rgb="FFFFFF00"/>
      <color rgb="FF66FF66"/>
      <color rgb="FFFFFF99"/>
      <color rgb="FFCCFF99"/>
      <color rgb="FF99FF99"/>
      <color rgb="FFCCFFCC"/>
      <color rgb="FFE0FFCC"/>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ensions.org/" TargetMode="External"/><Relationship Id="rId1" Type="http://schemas.openxmlformats.org/officeDocument/2006/relationships/hyperlink" Target="mailto:wcd@iastate.ed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wcd@iastate.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G116"/>
  <sheetViews>
    <sheetView showGridLines="0" showRowColHeaders="0" workbookViewId="0">
      <selection activeCell="B2" sqref="B2"/>
    </sheetView>
  </sheetViews>
  <sheetFormatPr defaultRowHeight="12.75" x14ac:dyDescent="0.2"/>
  <cols>
    <col min="1" max="1" width="2.42578125" customWidth="1"/>
    <col min="2" max="2" width="1.5703125" customWidth="1"/>
    <col min="3" max="3" width="5.42578125" customWidth="1"/>
    <col min="4" max="4" width="11" customWidth="1"/>
    <col min="5" max="5" width="65.85546875" customWidth="1"/>
    <col min="6" max="6" width="1.5703125" customWidth="1"/>
    <col min="7" max="7" width="2.42578125" customWidth="1"/>
  </cols>
  <sheetData>
    <row r="1" spans="1:7" ht="13.5" thickBot="1" x14ac:dyDescent="0.25">
      <c r="A1" s="2"/>
      <c r="B1" s="2"/>
      <c r="C1" s="2"/>
      <c r="D1" s="2"/>
      <c r="E1" s="2"/>
      <c r="F1" s="2"/>
      <c r="G1" s="2"/>
    </row>
    <row r="2" spans="1:7" ht="16.5" thickTop="1" x14ac:dyDescent="0.25">
      <c r="A2" s="2"/>
      <c r="B2" s="249"/>
      <c r="C2" s="644" t="str">
        <f>CONCATENATE("WHAT'S NEW FOR ",YEAR)</f>
        <v>WHAT'S NEW FOR 2023</v>
      </c>
      <c r="D2" s="644"/>
      <c r="E2" s="644"/>
      <c r="F2" s="250"/>
      <c r="G2" s="2"/>
    </row>
    <row r="3" spans="1:7" ht="12" customHeight="1" x14ac:dyDescent="0.2">
      <c r="A3" s="2"/>
      <c r="B3" s="251"/>
      <c r="D3" s="441"/>
      <c r="F3" s="252" t="str">
        <f>'Compensation Guidelines'!N16</f>
        <v xml:space="preserve"> </v>
      </c>
      <c r="G3" s="2"/>
    </row>
    <row r="4" spans="1:7" x14ac:dyDescent="0.2">
      <c r="A4" s="2"/>
      <c r="B4" s="253"/>
      <c r="C4" s="6" t="s">
        <v>150</v>
      </c>
      <c r="F4" s="389" t="str">
        <f>VERSION</f>
        <v>11-30</v>
      </c>
      <c r="G4" s="2"/>
    </row>
    <row r="5" spans="1:7" x14ac:dyDescent="0.2">
      <c r="A5" s="2"/>
      <c r="B5" s="253"/>
      <c r="C5" s="6" t="s">
        <v>170</v>
      </c>
      <c r="F5" s="254"/>
      <c r="G5" s="2"/>
    </row>
    <row r="6" spans="1:7" x14ac:dyDescent="0.2">
      <c r="A6" s="2"/>
      <c r="B6" s="253"/>
      <c r="C6" s="6"/>
      <c r="F6" s="254"/>
      <c r="G6" s="2"/>
    </row>
    <row r="7" spans="1:7" x14ac:dyDescent="0.2">
      <c r="A7" s="2"/>
      <c r="B7" s="253"/>
      <c r="C7" s="6" t="s">
        <v>864</v>
      </c>
      <c r="F7" s="254"/>
      <c r="G7" s="2"/>
    </row>
    <row r="8" spans="1:7" ht="27" customHeight="1" x14ac:dyDescent="0.2">
      <c r="A8" s="2"/>
      <c r="B8" s="253"/>
      <c r="C8" s="6"/>
      <c r="D8" s="642" t="s">
        <v>866</v>
      </c>
      <c r="E8" s="642"/>
      <c r="F8" s="254"/>
      <c r="G8" s="2"/>
    </row>
    <row r="9" spans="1:7" ht="12" customHeight="1" x14ac:dyDescent="0.2">
      <c r="A9" s="2"/>
      <c r="B9" s="253"/>
      <c r="C9" s="6"/>
      <c r="F9" s="254"/>
      <c r="G9" s="2"/>
    </row>
    <row r="10" spans="1:7" ht="13.5" customHeight="1" x14ac:dyDescent="0.2">
      <c r="A10" s="2"/>
      <c r="B10" s="253"/>
      <c r="C10" s="6" t="s">
        <v>153</v>
      </c>
      <c r="E10" s="103"/>
      <c r="F10" s="254"/>
      <c r="G10" s="2"/>
    </row>
    <row r="11" spans="1:7" ht="46.5" customHeight="1" x14ac:dyDescent="0.2">
      <c r="A11" s="2"/>
      <c r="B11" s="253"/>
      <c r="C11" s="6"/>
      <c r="D11" s="642" t="s">
        <v>865</v>
      </c>
      <c r="E11" s="642"/>
      <c r="F11" s="254"/>
      <c r="G11" s="2"/>
    </row>
    <row r="12" spans="1:7" x14ac:dyDescent="0.2">
      <c r="A12" s="2"/>
      <c r="B12" s="253"/>
      <c r="C12" s="6"/>
      <c r="D12" s="103" t="s">
        <v>385</v>
      </c>
      <c r="E12" s="103"/>
      <c r="F12" s="254"/>
      <c r="G12" s="2"/>
    </row>
    <row r="13" spans="1:7" x14ac:dyDescent="0.2">
      <c r="A13" s="2"/>
      <c r="B13" s="253"/>
      <c r="C13" s="6"/>
      <c r="D13" s="103" t="s">
        <v>154</v>
      </c>
      <c r="E13" s="103"/>
      <c r="F13" s="254"/>
      <c r="G13" s="2"/>
    </row>
    <row r="14" spans="1:7" x14ac:dyDescent="0.2">
      <c r="A14" s="2"/>
      <c r="B14" s="253"/>
      <c r="C14" s="6"/>
      <c r="D14" s="103" t="str">
        <f>CONCATENATE("guidelines for ",YEAR," are based on the average worship attendance for ",YEAR-2," as reported")</f>
        <v>guidelines for 2023 are based on the average worship attendance for 2021 as reported</v>
      </c>
      <c r="E14" s="103"/>
      <c r="F14" s="254"/>
      <c r="G14" s="2"/>
    </row>
    <row r="15" spans="1:7" x14ac:dyDescent="0.2">
      <c r="A15" s="2"/>
      <c r="B15" s="253"/>
      <c r="C15" s="6"/>
      <c r="D15" s="103" t="str">
        <f>CONCATENATE("by the churches to the Office of the General Assembly in ",YEAR-1,".")</f>
        <v>by the churches to the Office of the General Assembly in 2022.</v>
      </c>
      <c r="E15" s="103"/>
      <c r="F15" s="254"/>
      <c r="G15" s="2"/>
    </row>
    <row r="16" spans="1:7" ht="11.25" customHeight="1" x14ac:dyDescent="0.2">
      <c r="A16" s="2"/>
      <c r="B16" s="253"/>
      <c r="C16" s="6"/>
      <c r="F16" s="254"/>
      <c r="G16" s="2"/>
    </row>
    <row r="17" spans="1:7" x14ac:dyDescent="0.2">
      <c r="A17" s="2"/>
      <c r="B17" s="253"/>
      <c r="C17" s="6"/>
      <c r="D17" t="s">
        <v>448</v>
      </c>
      <c r="F17" s="254"/>
      <c r="G17" s="2"/>
    </row>
    <row r="18" spans="1:7" ht="11.25" customHeight="1" x14ac:dyDescent="0.2">
      <c r="A18" s="2"/>
      <c r="B18" s="253"/>
      <c r="C18" s="6"/>
      <c r="F18" s="254"/>
      <c r="G18" s="2"/>
    </row>
    <row r="19" spans="1:7" x14ac:dyDescent="0.2">
      <c r="A19" s="2"/>
      <c r="B19" s="253"/>
      <c r="C19" s="6" t="s">
        <v>863</v>
      </c>
      <c r="F19" s="254"/>
      <c r="G19" s="2"/>
    </row>
    <row r="20" spans="1:7" ht="59.25" customHeight="1" x14ac:dyDescent="0.2">
      <c r="A20" s="2"/>
      <c r="B20" s="253"/>
      <c r="C20" s="6"/>
      <c r="D20" s="642" t="s">
        <v>844</v>
      </c>
      <c r="E20" s="642"/>
      <c r="F20" s="254"/>
      <c r="G20" s="2"/>
    </row>
    <row r="21" spans="1:7" ht="36" customHeight="1" x14ac:dyDescent="0.2">
      <c r="A21" s="2"/>
      <c r="B21" s="253"/>
      <c r="C21" s="6"/>
      <c r="D21" s="642" t="s">
        <v>861</v>
      </c>
      <c r="E21" s="642"/>
      <c r="F21" s="254"/>
      <c r="G21" s="2"/>
    </row>
    <row r="22" spans="1:7" x14ac:dyDescent="0.2">
      <c r="A22" s="2"/>
      <c r="B22" s="253"/>
      <c r="C22" s="6" t="s">
        <v>815</v>
      </c>
      <c r="F22" s="254"/>
      <c r="G22" s="2"/>
    </row>
    <row r="23" spans="1:7" x14ac:dyDescent="0.2">
      <c r="A23" s="2"/>
      <c r="B23" s="253"/>
      <c r="C23" s="6"/>
      <c r="D23" s="642" t="s">
        <v>806</v>
      </c>
      <c r="E23" s="642"/>
      <c r="F23" s="254"/>
      <c r="G23" s="2"/>
    </row>
    <row r="24" spans="1:7" ht="51" customHeight="1" x14ac:dyDescent="0.2">
      <c r="A24" s="2"/>
      <c r="B24" s="253"/>
      <c r="C24" s="6"/>
      <c r="D24" s="642" t="s">
        <v>807</v>
      </c>
      <c r="E24" s="647"/>
      <c r="F24" s="254"/>
      <c r="G24" s="2"/>
    </row>
    <row r="25" spans="1:7" ht="36" customHeight="1" x14ac:dyDescent="0.2">
      <c r="A25" s="2"/>
      <c r="B25" s="253"/>
      <c r="C25" s="6"/>
      <c r="D25" s="642" t="s">
        <v>751</v>
      </c>
      <c r="E25" s="642"/>
      <c r="F25" s="254"/>
      <c r="G25" s="2"/>
    </row>
    <row r="26" spans="1:7" ht="27" customHeight="1" x14ac:dyDescent="0.2">
      <c r="A26" s="2"/>
      <c r="B26" s="253"/>
      <c r="C26" s="6"/>
      <c r="D26" s="642" t="s">
        <v>808</v>
      </c>
      <c r="E26" s="642"/>
      <c r="F26" s="254"/>
      <c r="G26" s="2"/>
    </row>
    <row r="27" spans="1:7" x14ac:dyDescent="0.2">
      <c r="A27" s="2"/>
      <c r="B27" s="253"/>
      <c r="C27" s="6"/>
      <c r="F27" s="254"/>
      <c r="G27" s="2"/>
    </row>
    <row r="28" spans="1:7" x14ac:dyDescent="0.2">
      <c r="A28" s="2"/>
      <c r="B28" s="253"/>
      <c r="C28" s="6"/>
      <c r="D28" s="645" t="s">
        <v>653</v>
      </c>
      <c r="E28" s="645"/>
      <c r="F28" s="254"/>
      <c r="G28" s="2"/>
    </row>
    <row r="29" spans="1:7" x14ac:dyDescent="0.2">
      <c r="A29" s="2"/>
      <c r="B29" s="253"/>
      <c r="C29" s="6"/>
      <c r="F29" s="254"/>
      <c r="G29" s="2"/>
    </row>
    <row r="30" spans="1:7" x14ac:dyDescent="0.2">
      <c r="A30" s="2"/>
      <c r="B30" s="253"/>
      <c r="C30" s="6"/>
      <c r="D30" s="645" t="s">
        <v>652</v>
      </c>
      <c r="E30" s="645"/>
      <c r="F30" s="254"/>
      <c r="G30" s="2"/>
    </row>
    <row r="31" spans="1:7" x14ac:dyDescent="0.2">
      <c r="A31" s="2"/>
      <c r="B31" s="253"/>
      <c r="C31" s="6"/>
      <c r="F31" s="254"/>
      <c r="G31" s="2"/>
    </row>
    <row r="32" spans="1:7" x14ac:dyDescent="0.2">
      <c r="A32" s="2"/>
      <c r="B32" s="253"/>
      <c r="C32" s="6" t="s">
        <v>651</v>
      </c>
      <c r="F32" s="254"/>
      <c r="G32" s="2"/>
    </row>
    <row r="33" spans="1:7" ht="37.5" customHeight="1" x14ac:dyDescent="0.2">
      <c r="A33" s="2"/>
      <c r="B33" s="253"/>
      <c r="C33" s="6"/>
      <c r="D33" s="645" t="s">
        <v>577</v>
      </c>
      <c r="E33" s="645"/>
      <c r="F33" s="254"/>
      <c r="G33" s="2"/>
    </row>
    <row r="34" spans="1:7" ht="11.25" customHeight="1" x14ac:dyDescent="0.2">
      <c r="A34" s="2"/>
      <c r="B34" s="253"/>
      <c r="C34" s="6"/>
      <c r="F34" s="254"/>
      <c r="G34" s="2"/>
    </row>
    <row r="35" spans="1:7" ht="103.5" customHeight="1" x14ac:dyDescent="0.2">
      <c r="A35" s="2"/>
      <c r="B35" s="253"/>
      <c r="C35" s="6"/>
      <c r="D35" s="645" t="s">
        <v>650</v>
      </c>
      <c r="E35" s="645"/>
      <c r="F35" s="254"/>
      <c r="G35" s="2"/>
    </row>
    <row r="36" spans="1:7" x14ac:dyDescent="0.2">
      <c r="A36" s="2"/>
      <c r="B36" s="253"/>
      <c r="C36" s="6"/>
      <c r="D36" s="377"/>
      <c r="E36" s="377"/>
      <c r="F36" s="254"/>
      <c r="G36" s="2"/>
    </row>
    <row r="37" spans="1:7" ht="77.25" customHeight="1" x14ac:dyDescent="0.2">
      <c r="A37" s="2"/>
      <c r="B37" s="253"/>
      <c r="C37" s="6"/>
      <c r="D37" s="645" t="s">
        <v>575</v>
      </c>
      <c r="E37" s="646"/>
      <c r="F37" s="254"/>
      <c r="G37" s="2"/>
    </row>
    <row r="38" spans="1:7" ht="11.25" customHeight="1" x14ac:dyDescent="0.2">
      <c r="A38" s="2"/>
      <c r="B38" s="253"/>
      <c r="C38" s="6"/>
      <c r="D38" s="377"/>
      <c r="E38" s="377"/>
      <c r="F38" s="254"/>
      <c r="G38" s="2"/>
    </row>
    <row r="39" spans="1:7" ht="36.75" customHeight="1" x14ac:dyDescent="0.2">
      <c r="A39" s="2"/>
      <c r="B39" s="253"/>
      <c r="C39" s="6"/>
      <c r="D39" s="645" t="s">
        <v>576</v>
      </c>
      <c r="E39" s="645"/>
      <c r="F39" s="254"/>
      <c r="G39" s="2"/>
    </row>
    <row r="40" spans="1:7" ht="11.25" customHeight="1" x14ac:dyDescent="0.2">
      <c r="A40" s="2"/>
      <c r="B40" s="253"/>
      <c r="C40" s="6"/>
      <c r="F40" s="254"/>
      <c r="G40" s="2"/>
    </row>
    <row r="41" spans="1:7" x14ac:dyDescent="0.2">
      <c r="A41" s="2"/>
      <c r="B41" s="253"/>
      <c r="C41" s="6" t="s">
        <v>574</v>
      </c>
      <c r="F41" s="254"/>
      <c r="G41" s="2"/>
    </row>
    <row r="42" spans="1:7" x14ac:dyDescent="0.2">
      <c r="A42" s="2"/>
      <c r="B42" s="253"/>
      <c r="C42" s="6"/>
      <c r="D42" t="s">
        <v>449</v>
      </c>
      <c r="F42" s="254"/>
      <c r="G42" s="2"/>
    </row>
    <row r="43" spans="1:7" x14ac:dyDescent="0.2">
      <c r="A43" s="2"/>
      <c r="B43" s="253"/>
      <c r="C43" s="6"/>
      <c r="D43" t="s">
        <v>462</v>
      </c>
      <c r="F43" s="254"/>
      <c r="G43" s="2"/>
    </row>
    <row r="44" spans="1:7" x14ac:dyDescent="0.2">
      <c r="A44" s="2"/>
      <c r="B44" s="253"/>
      <c r="C44" s="6"/>
      <c r="D44" t="s">
        <v>463</v>
      </c>
      <c r="F44" s="254"/>
      <c r="G44" s="2"/>
    </row>
    <row r="45" spans="1:7" ht="11.25" customHeight="1" x14ac:dyDescent="0.2">
      <c r="A45" s="2"/>
      <c r="B45" s="253"/>
      <c r="C45" s="6"/>
      <c r="F45" s="254"/>
      <c r="G45" s="2"/>
    </row>
    <row r="46" spans="1:7" x14ac:dyDescent="0.2">
      <c r="A46" s="2"/>
      <c r="B46" s="253"/>
      <c r="C46" s="6"/>
      <c r="D46" s="103" t="s">
        <v>472</v>
      </c>
      <c r="F46" s="254"/>
      <c r="G46" s="2"/>
    </row>
    <row r="47" spans="1:7" ht="14.25" customHeight="1" x14ac:dyDescent="0.2">
      <c r="A47" s="2"/>
      <c r="B47" s="253"/>
      <c r="C47" s="6"/>
      <c r="D47" s="103" t="s">
        <v>471</v>
      </c>
      <c r="F47" s="254"/>
      <c r="G47" s="2"/>
    </row>
    <row r="48" spans="1:7" x14ac:dyDescent="0.2">
      <c r="A48" s="2"/>
      <c r="B48" s="253"/>
      <c r="C48" s="6"/>
      <c r="D48" s="103" t="s">
        <v>473</v>
      </c>
      <c r="E48" s="103"/>
      <c r="F48" s="254"/>
      <c r="G48" s="2"/>
    </row>
    <row r="49" spans="1:7" x14ac:dyDescent="0.2">
      <c r="A49" s="2"/>
      <c r="B49" s="253"/>
      <c r="C49" s="6"/>
      <c r="D49" s="103" t="s">
        <v>474</v>
      </c>
      <c r="E49" s="103"/>
      <c r="F49" s="254"/>
      <c r="G49" s="2"/>
    </row>
    <row r="50" spans="1:7" ht="10.5" customHeight="1" x14ac:dyDescent="0.2">
      <c r="A50" s="2"/>
      <c r="B50" s="253"/>
      <c r="C50" s="6"/>
      <c r="F50" s="254"/>
      <c r="G50" s="2"/>
    </row>
    <row r="51" spans="1:7" x14ac:dyDescent="0.2">
      <c r="A51" s="2"/>
      <c r="B51" s="253"/>
      <c r="C51" s="6"/>
      <c r="D51" s="103" t="s">
        <v>481</v>
      </c>
      <c r="F51" s="254"/>
      <c r="G51" s="2"/>
    </row>
    <row r="52" spans="1:7" x14ac:dyDescent="0.2">
      <c r="A52" s="2"/>
      <c r="B52" s="253"/>
      <c r="C52" s="6"/>
      <c r="D52" s="103" t="s">
        <v>482</v>
      </c>
      <c r="F52" s="254"/>
      <c r="G52" s="2"/>
    </row>
    <row r="53" spans="1:7" x14ac:dyDescent="0.2">
      <c r="A53" s="2"/>
      <c r="B53" s="253"/>
      <c r="C53" s="6"/>
      <c r="F53" s="254"/>
      <c r="G53" s="2"/>
    </row>
    <row r="54" spans="1:7" x14ac:dyDescent="0.2">
      <c r="A54" s="2"/>
      <c r="B54" s="253"/>
      <c r="C54" s="6" t="s">
        <v>445</v>
      </c>
      <c r="F54" s="254"/>
      <c r="G54" s="2"/>
    </row>
    <row r="55" spans="1:7" x14ac:dyDescent="0.2">
      <c r="A55" s="2"/>
      <c r="B55" s="253"/>
      <c r="C55" s="6"/>
      <c r="D55" s="103" t="s">
        <v>444</v>
      </c>
      <c r="F55" s="254"/>
      <c r="G55" s="2"/>
    </row>
    <row r="56" spans="1:7" x14ac:dyDescent="0.2">
      <c r="A56" s="2"/>
      <c r="B56" s="253"/>
      <c r="C56" s="6"/>
      <c r="D56" t="s">
        <v>386</v>
      </c>
      <c r="F56" s="254"/>
      <c r="G56" s="2"/>
    </row>
    <row r="57" spans="1:7" x14ac:dyDescent="0.2">
      <c r="A57" s="2"/>
      <c r="B57" s="253"/>
      <c r="C57" s="6"/>
      <c r="D57" t="s">
        <v>393</v>
      </c>
      <c r="F57" s="254"/>
      <c r="G57" s="2"/>
    </row>
    <row r="58" spans="1:7" x14ac:dyDescent="0.2">
      <c r="A58" s="2"/>
      <c r="B58" s="253"/>
      <c r="C58" s="6"/>
      <c r="D58" t="s">
        <v>395</v>
      </c>
      <c r="F58" s="254"/>
      <c r="G58" s="2"/>
    </row>
    <row r="59" spans="1:7" x14ac:dyDescent="0.2">
      <c r="A59" s="2"/>
      <c r="B59" s="253"/>
      <c r="C59" s="6"/>
      <c r="D59" t="s">
        <v>394</v>
      </c>
      <c r="F59" s="254"/>
      <c r="G59" s="2"/>
    </row>
    <row r="60" spans="1:7" ht="11.25" customHeight="1" x14ac:dyDescent="0.2">
      <c r="A60" s="2"/>
      <c r="B60" s="253"/>
      <c r="C60" s="6"/>
      <c r="F60" s="254"/>
      <c r="G60" s="2"/>
    </row>
    <row r="61" spans="1:7" x14ac:dyDescent="0.2">
      <c r="A61" s="2"/>
      <c r="B61" s="253"/>
      <c r="C61" s="6"/>
      <c r="D61" t="s">
        <v>388</v>
      </c>
      <c r="F61" s="254"/>
      <c r="G61" s="2"/>
    </row>
    <row r="62" spans="1:7" x14ac:dyDescent="0.2">
      <c r="A62" s="2"/>
      <c r="B62" s="253"/>
      <c r="C62" s="6"/>
      <c r="D62" t="s">
        <v>447</v>
      </c>
      <c r="F62" s="254"/>
      <c r="G62" s="2"/>
    </row>
    <row r="63" spans="1:7" x14ac:dyDescent="0.2">
      <c r="A63" s="2"/>
      <c r="B63" s="253"/>
      <c r="C63" s="6"/>
      <c r="D63" t="s">
        <v>446</v>
      </c>
      <c r="F63" s="254"/>
      <c r="G63" s="2"/>
    </row>
    <row r="64" spans="1:7" ht="11.25" customHeight="1" x14ac:dyDescent="0.2">
      <c r="A64" s="2"/>
      <c r="B64" s="253"/>
      <c r="C64" s="6"/>
      <c r="F64" s="254"/>
      <c r="G64" s="2"/>
    </row>
    <row r="65" spans="1:7" x14ac:dyDescent="0.2">
      <c r="A65" s="2"/>
      <c r="B65" s="253"/>
      <c r="C65" s="6"/>
      <c r="D65" t="s">
        <v>389</v>
      </c>
      <c r="F65" s="254"/>
      <c r="G65" s="2"/>
    </row>
    <row r="66" spans="1:7" x14ac:dyDescent="0.2">
      <c r="A66" s="2"/>
      <c r="B66" s="253"/>
      <c r="C66" s="6"/>
      <c r="D66" t="s">
        <v>387</v>
      </c>
      <c r="F66" s="254"/>
      <c r="G66" s="2"/>
    </row>
    <row r="67" spans="1:7" x14ac:dyDescent="0.2">
      <c r="A67" s="2"/>
      <c r="B67" s="253"/>
      <c r="C67" s="6"/>
      <c r="D67" s="103" t="s">
        <v>396</v>
      </c>
      <c r="F67" s="254"/>
      <c r="G67" s="2"/>
    </row>
    <row r="68" spans="1:7" x14ac:dyDescent="0.2">
      <c r="A68" s="2"/>
      <c r="B68" s="253"/>
      <c r="C68" s="6"/>
      <c r="D68" s="103" t="s">
        <v>397</v>
      </c>
      <c r="F68" s="254"/>
      <c r="G68" s="2"/>
    </row>
    <row r="69" spans="1:7" x14ac:dyDescent="0.2">
      <c r="A69" s="2"/>
      <c r="B69" s="253"/>
      <c r="C69" s="6"/>
      <c r="D69" s="103"/>
      <c r="E69" s="103"/>
      <c r="F69" s="254"/>
      <c r="G69" s="2"/>
    </row>
    <row r="70" spans="1:7" x14ac:dyDescent="0.2">
      <c r="A70" s="2"/>
      <c r="B70" s="253"/>
      <c r="C70" s="6" t="s">
        <v>392</v>
      </c>
      <c r="F70" s="254"/>
      <c r="G70" s="2"/>
    </row>
    <row r="71" spans="1:7" x14ac:dyDescent="0.2">
      <c r="A71" s="2"/>
      <c r="B71" s="253"/>
      <c r="C71" s="6" t="s">
        <v>391</v>
      </c>
      <c r="F71" s="254"/>
      <c r="G71" s="2"/>
    </row>
    <row r="72" spans="1:7" x14ac:dyDescent="0.2">
      <c r="A72" s="2"/>
      <c r="B72" s="253"/>
      <c r="C72" s="6"/>
      <c r="D72" s="6"/>
      <c r="E72" s="255"/>
      <c r="F72" s="254"/>
      <c r="G72" s="2"/>
    </row>
    <row r="73" spans="1:7" x14ac:dyDescent="0.2">
      <c r="A73" s="2"/>
      <c r="B73" s="253"/>
      <c r="C73" s="6" t="s">
        <v>195</v>
      </c>
      <c r="F73" s="254"/>
      <c r="G73" s="2"/>
    </row>
    <row r="74" spans="1:7" x14ac:dyDescent="0.2">
      <c r="A74" s="2"/>
      <c r="B74" s="253"/>
      <c r="C74" s="6"/>
      <c r="D74" s="103" t="s">
        <v>390</v>
      </c>
      <c r="E74" s="103"/>
      <c r="F74" s="254"/>
      <c r="G74" s="2"/>
    </row>
    <row r="75" spans="1:7" x14ac:dyDescent="0.2">
      <c r="A75" s="2"/>
      <c r="B75" s="253"/>
      <c r="C75" s="6"/>
      <c r="D75" s="103" t="s">
        <v>175</v>
      </c>
      <c r="E75" s="103"/>
      <c r="F75" s="254"/>
      <c r="G75" s="2"/>
    </row>
    <row r="76" spans="1:7" ht="11.25" customHeight="1" x14ac:dyDescent="0.2">
      <c r="A76" s="2"/>
      <c r="B76" s="253"/>
      <c r="C76" s="6"/>
      <c r="D76" s="6"/>
      <c r="E76" s="103"/>
      <c r="F76" s="254"/>
      <c r="G76" s="2"/>
    </row>
    <row r="77" spans="1:7" x14ac:dyDescent="0.2">
      <c r="A77" s="2"/>
      <c r="B77" s="253"/>
      <c r="C77" s="6"/>
      <c r="D77" s="103" t="s">
        <v>176</v>
      </c>
      <c r="E77" s="103"/>
      <c r="F77" s="254"/>
      <c r="G77" s="2"/>
    </row>
    <row r="78" spans="1:7" x14ac:dyDescent="0.2">
      <c r="A78" s="2"/>
      <c r="B78" s="253"/>
      <c r="C78" s="6"/>
      <c r="D78" s="103" t="s">
        <v>177</v>
      </c>
      <c r="E78" s="103"/>
      <c r="F78" s="254"/>
      <c r="G78" s="2"/>
    </row>
    <row r="79" spans="1:7" x14ac:dyDescent="0.2">
      <c r="A79" s="2"/>
      <c r="B79" s="253"/>
      <c r="C79" s="6"/>
      <c r="D79" s="103" t="s">
        <v>178</v>
      </c>
      <c r="E79" s="103"/>
      <c r="F79" s="254"/>
      <c r="G79" s="2"/>
    </row>
    <row r="80" spans="1:7" x14ac:dyDescent="0.2">
      <c r="A80" s="2"/>
      <c r="B80" s="253"/>
      <c r="C80" s="6"/>
      <c r="D80" s="103" t="s">
        <v>179</v>
      </c>
      <c r="E80" s="103"/>
      <c r="F80" s="254"/>
      <c r="G80" s="2"/>
    </row>
    <row r="81" spans="1:7" x14ac:dyDescent="0.2">
      <c r="A81" s="2"/>
      <c r="B81" s="253"/>
      <c r="C81" s="6"/>
      <c r="D81" s="103" t="s">
        <v>180</v>
      </c>
      <c r="E81" s="103"/>
      <c r="F81" s="254"/>
      <c r="G81" s="2"/>
    </row>
    <row r="82" spans="1:7" x14ac:dyDescent="0.2">
      <c r="A82" s="2"/>
      <c r="B82" s="253"/>
      <c r="C82" s="6"/>
      <c r="D82" s="103" t="s">
        <v>181</v>
      </c>
      <c r="E82" s="103"/>
      <c r="F82" s="254"/>
      <c r="G82" s="2"/>
    </row>
    <row r="83" spans="1:7" x14ac:dyDescent="0.2">
      <c r="A83" s="2"/>
      <c r="B83" s="253"/>
      <c r="C83" s="6"/>
      <c r="D83" s="103" t="s">
        <v>182</v>
      </c>
      <c r="E83" s="103"/>
      <c r="F83" s="254"/>
      <c r="G83" s="2"/>
    </row>
    <row r="84" spans="1:7" x14ac:dyDescent="0.2">
      <c r="A84" s="2"/>
      <c r="B84" s="253"/>
      <c r="C84" s="6"/>
      <c r="D84" s="103" t="s">
        <v>183</v>
      </c>
      <c r="E84" s="103"/>
      <c r="F84" s="254"/>
      <c r="G84" s="2"/>
    </row>
    <row r="85" spans="1:7" ht="11.25" customHeight="1" x14ac:dyDescent="0.2">
      <c r="A85" s="2"/>
      <c r="B85" s="253"/>
      <c r="C85" s="6"/>
      <c r="D85" s="103"/>
      <c r="E85" s="103"/>
      <c r="F85" s="254"/>
      <c r="G85" s="2"/>
    </row>
    <row r="86" spans="1:7" x14ac:dyDescent="0.2">
      <c r="A86" s="2"/>
      <c r="B86" s="253"/>
      <c r="C86" s="6"/>
      <c r="D86" s="103" t="s">
        <v>196</v>
      </c>
      <c r="E86" s="103"/>
      <c r="F86" s="254"/>
      <c r="G86" s="2"/>
    </row>
    <row r="87" spans="1:7" x14ac:dyDescent="0.2">
      <c r="A87" s="2"/>
      <c r="B87" s="253"/>
      <c r="C87" s="6"/>
      <c r="D87" s="103" t="s">
        <v>197</v>
      </c>
      <c r="E87" s="103"/>
      <c r="F87" s="254"/>
      <c r="G87" s="2"/>
    </row>
    <row r="88" spans="1:7" x14ac:dyDescent="0.2">
      <c r="A88" s="2"/>
      <c r="B88" s="253"/>
      <c r="C88" s="6"/>
      <c r="D88" s="103" t="s">
        <v>184</v>
      </c>
      <c r="E88" s="103"/>
      <c r="F88" s="254"/>
      <c r="G88" s="2"/>
    </row>
    <row r="89" spans="1:7" x14ac:dyDescent="0.2">
      <c r="A89" s="2"/>
      <c r="B89" s="253"/>
      <c r="C89" s="6"/>
      <c r="D89" s="103" t="s">
        <v>186</v>
      </c>
      <c r="E89" s="103"/>
      <c r="F89" s="254"/>
      <c r="G89" s="2"/>
    </row>
    <row r="90" spans="1:7" x14ac:dyDescent="0.2">
      <c r="A90" s="2"/>
      <c r="B90" s="253"/>
      <c r="C90" s="6"/>
      <c r="D90" s="255"/>
      <c r="E90" s="256" t="s">
        <v>185</v>
      </c>
      <c r="F90" s="254"/>
      <c r="G90" s="2"/>
    </row>
    <row r="91" spans="1:7" x14ac:dyDescent="0.2">
      <c r="A91" s="2"/>
      <c r="B91" s="253"/>
      <c r="C91" s="6"/>
      <c r="D91" s="6"/>
      <c r="E91" s="255"/>
      <c r="F91" s="254"/>
      <c r="G91" s="2"/>
    </row>
    <row r="92" spans="1:7" x14ac:dyDescent="0.2">
      <c r="A92" s="2"/>
      <c r="B92" s="253"/>
      <c r="C92" s="6" t="s">
        <v>720</v>
      </c>
      <c r="F92" s="254"/>
      <c r="G92" s="2"/>
    </row>
    <row r="93" spans="1:7" ht="41.25" customHeight="1" x14ac:dyDescent="0.2">
      <c r="A93" s="2"/>
      <c r="B93" s="253"/>
      <c r="C93" s="6"/>
      <c r="D93" s="642" t="s">
        <v>721</v>
      </c>
      <c r="E93" s="643"/>
      <c r="F93" s="254"/>
      <c r="G93" s="2"/>
    </row>
    <row r="94" spans="1:7" x14ac:dyDescent="0.2">
      <c r="A94" s="2"/>
      <c r="B94" s="253"/>
      <c r="C94" s="6"/>
      <c r="F94" s="254"/>
      <c r="G94" s="2"/>
    </row>
    <row r="95" spans="1:7" x14ac:dyDescent="0.2">
      <c r="A95" s="2"/>
      <c r="B95" s="253"/>
      <c r="C95" s="6" t="s">
        <v>173</v>
      </c>
      <c r="F95" s="254"/>
      <c r="G95" s="2"/>
    </row>
    <row r="96" spans="1:7" x14ac:dyDescent="0.2">
      <c r="A96" s="2"/>
      <c r="B96" s="253"/>
      <c r="C96" s="6"/>
      <c r="D96" s="6" t="s">
        <v>151</v>
      </c>
      <c r="E96" s="103" t="s">
        <v>157</v>
      </c>
      <c r="F96" s="254"/>
      <c r="G96" s="2"/>
    </row>
    <row r="97" spans="1:7" x14ac:dyDescent="0.2">
      <c r="A97" s="2"/>
      <c r="B97" s="253"/>
      <c r="C97" s="6"/>
      <c r="E97" s="103" t="s">
        <v>461</v>
      </c>
      <c r="F97" s="254"/>
      <c r="G97" s="2"/>
    </row>
    <row r="98" spans="1:7" x14ac:dyDescent="0.2">
      <c r="A98" s="2"/>
      <c r="B98" s="253"/>
      <c r="C98" s="6"/>
      <c r="E98" s="103" t="s">
        <v>158</v>
      </c>
      <c r="F98" s="254"/>
      <c r="G98" s="2"/>
    </row>
    <row r="99" spans="1:7" x14ac:dyDescent="0.2">
      <c r="A99" s="2"/>
      <c r="B99" s="253"/>
      <c r="C99" s="6"/>
      <c r="E99" s="103" t="s">
        <v>159</v>
      </c>
      <c r="F99" s="254"/>
      <c r="G99" s="2"/>
    </row>
    <row r="100" spans="1:7" x14ac:dyDescent="0.2">
      <c r="A100" s="2"/>
      <c r="B100" s="253"/>
      <c r="C100" s="6"/>
      <c r="E100" s="103" t="s">
        <v>160</v>
      </c>
      <c r="F100" s="254"/>
      <c r="G100" s="2"/>
    </row>
    <row r="101" spans="1:7" x14ac:dyDescent="0.2">
      <c r="A101" s="2"/>
      <c r="B101" s="253"/>
      <c r="C101" s="6"/>
      <c r="E101" s="103" t="s">
        <v>161</v>
      </c>
      <c r="F101" s="254"/>
      <c r="G101" s="2"/>
    </row>
    <row r="102" spans="1:7" x14ac:dyDescent="0.2">
      <c r="A102" s="2"/>
      <c r="B102" s="253"/>
      <c r="C102" s="6"/>
      <c r="E102" s="103" t="s">
        <v>162</v>
      </c>
      <c r="F102" s="254"/>
      <c r="G102" s="2"/>
    </row>
    <row r="103" spans="1:7" x14ac:dyDescent="0.2">
      <c r="A103" s="2"/>
      <c r="B103" s="253"/>
      <c r="C103" s="6"/>
      <c r="E103" s="103" t="s">
        <v>163</v>
      </c>
      <c r="F103" s="254"/>
      <c r="G103" s="2"/>
    </row>
    <row r="104" spans="1:7" x14ac:dyDescent="0.2">
      <c r="A104" s="2"/>
      <c r="B104" s="253"/>
      <c r="C104" s="6"/>
      <c r="E104" s="103"/>
      <c r="F104" s="254"/>
      <c r="G104" s="2"/>
    </row>
    <row r="105" spans="1:7" x14ac:dyDescent="0.2">
      <c r="A105" s="2"/>
      <c r="B105" s="253"/>
      <c r="C105" s="6"/>
      <c r="D105" s="6" t="s">
        <v>152</v>
      </c>
      <c r="E105" s="103" t="s">
        <v>164</v>
      </c>
      <c r="F105" s="254"/>
      <c r="G105" s="2"/>
    </row>
    <row r="106" spans="1:7" x14ac:dyDescent="0.2">
      <c r="A106" s="2"/>
      <c r="B106" s="253"/>
      <c r="C106" s="6"/>
      <c r="E106" s="103" t="s">
        <v>165</v>
      </c>
      <c r="F106" s="254"/>
      <c r="G106" s="2"/>
    </row>
    <row r="107" spans="1:7" x14ac:dyDescent="0.2">
      <c r="A107" s="2"/>
      <c r="B107" s="253"/>
      <c r="C107" s="6"/>
      <c r="E107" s="103" t="s">
        <v>166</v>
      </c>
      <c r="F107" s="254"/>
      <c r="G107" s="2"/>
    </row>
    <row r="108" spans="1:7" x14ac:dyDescent="0.2">
      <c r="A108" s="2"/>
      <c r="B108" s="253"/>
      <c r="C108" s="6"/>
      <c r="E108" s="103" t="s">
        <v>167</v>
      </c>
      <c r="F108" s="254"/>
      <c r="G108" s="2"/>
    </row>
    <row r="109" spans="1:7" x14ac:dyDescent="0.2">
      <c r="A109" s="2"/>
      <c r="B109" s="253"/>
      <c r="C109" s="6"/>
      <c r="E109" s="103"/>
      <c r="F109" s="254"/>
      <c r="G109" s="2"/>
    </row>
    <row r="110" spans="1:7" x14ac:dyDescent="0.2">
      <c r="A110" s="2"/>
      <c r="B110" s="253"/>
      <c r="C110" s="6" t="s">
        <v>155</v>
      </c>
      <c r="E110" s="103"/>
      <c r="F110" s="254"/>
      <c r="G110" s="2"/>
    </row>
    <row r="111" spans="1:7" x14ac:dyDescent="0.2">
      <c r="A111" s="2"/>
      <c r="B111" s="253"/>
      <c r="C111" s="6" t="s">
        <v>156</v>
      </c>
      <c r="E111" s="103"/>
      <c r="F111" s="254"/>
      <c r="G111" s="2"/>
    </row>
    <row r="112" spans="1:7" x14ac:dyDescent="0.2">
      <c r="A112" s="2"/>
      <c r="B112" s="253"/>
      <c r="C112" s="6"/>
      <c r="E112" t="s">
        <v>125</v>
      </c>
      <c r="F112" s="254"/>
      <c r="G112" s="2"/>
    </row>
    <row r="113" spans="1:7" x14ac:dyDescent="0.2">
      <c r="A113" s="2"/>
      <c r="B113" s="253"/>
      <c r="E113" t="s">
        <v>123</v>
      </c>
      <c r="F113" s="254"/>
      <c r="G113" s="2"/>
    </row>
    <row r="114" spans="1:7" x14ac:dyDescent="0.2">
      <c r="A114" s="2"/>
      <c r="B114" s="253"/>
      <c r="C114" s="257" t="str">
        <f>'Compensation Guidelines'!N16</f>
        <v xml:space="preserve"> </v>
      </c>
      <c r="E114" s="258" t="s">
        <v>124</v>
      </c>
      <c r="F114" s="254"/>
      <c r="G114" s="2"/>
    </row>
    <row r="115" spans="1:7" ht="13.5" thickBot="1" x14ac:dyDescent="0.25">
      <c r="A115" s="2"/>
      <c r="B115" s="259"/>
      <c r="C115" s="260"/>
      <c r="D115" s="260"/>
      <c r="E115" s="260"/>
      <c r="F115" s="261"/>
      <c r="G115" s="2"/>
    </row>
    <row r="116" spans="1:7" ht="13.5" thickTop="1" x14ac:dyDescent="0.2">
      <c r="A116" s="2"/>
      <c r="B116" s="2"/>
      <c r="C116" s="2"/>
      <c r="D116" s="2"/>
      <c r="E116" s="2"/>
      <c r="F116" s="2"/>
      <c r="G116" s="2"/>
    </row>
  </sheetData>
  <sheetProtection sheet="1" objects="1" scenarios="1" selectLockedCells="1" selectUnlockedCells="1"/>
  <mergeCells count="16">
    <mergeCell ref="D21:E21"/>
    <mergeCell ref="D25:E25"/>
    <mergeCell ref="D8:E8"/>
    <mergeCell ref="D93:E93"/>
    <mergeCell ref="C2:E2"/>
    <mergeCell ref="D33:E33"/>
    <mergeCell ref="D35:E35"/>
    <mergeCell ref="D37:E37"/>
    <mergeCell ref="D39:E39"/>
    <mergeCell ref="D24:E24"/>
    <mergeCell ref="D26:E26"/>
    <mergeCell ref="D28:E28"/>
    <mergeCell ref="D30:E30"/>
    <mergeCell ref="D11:E11"/>
    <mergeCell ref="D23:E23"/>
    <mergeCell ref="D20:E20"/>
  </mergeCells>
  <hyperlinks>
    <hyperlink ref="E114" r:id="rId1" xr:uid="{00000000-0004-0000-0000-000000000000}"/>
    <hyperlink ref="E90" r:id="rId2" xr:uid="{00000000-0004-0000-0000-000001000000}"/>
  </hyperlinks>
  <pageMargins left="0.75" right="0.75" top="1" bottom="1" header="0.5" footer="0.5"/>
  <pageSetup orientation="portrait" r:id="rId3"/>
  <headerFooter alignWithMargins="0">
    <oddFooter>&amp;L&amp;F&amp;C&amp;A&amp;R&amp;P / &amp;N</oddFooter>
  </headerFooter>
  <rowBreaks count="3" manualBreakCount="3">
    <brk id="31" max="16383" man="1"/>
    <brk id="53" max="16383" man="1"/>
    <brk id="9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110"/>
  <sheetViews>
    <sheetView showGridLines="0" showRowColHeaders="0" workbookViewId="0">
      <selection activeCell="B2" sqref="B2:F2"/>
    </sheetView>
  </sheetViews>
  <sheetFormatPr defaultRowHeight="12.75" x14ac:dyDescent="0.2"/>
  <cols>
    <col min="1" max="1" width="2.42578125" customWidth="1"/>
    <col min="2" max="2" width="5.42578125" customWidth="1"/>
    <col min="3" max="3" width="7.42578125" customWidth="1"/>
    <col min="4" max="4" width="8.140625" customWidth="1"/>
    <col min="5" max="5" width="58.85546875" customWidth="1"/>
    <col min="6" max="6" width="1.5703125" customWidth="1"/>
    <col min="7" max="7" width="2.42578125" customWidth="1"/>
    <col min="9" max="9" width="8.42578125" customWidth="1"/>
  </cols>
  <sheetData>
    <row r="1" spans="1:7" ht="13.5" thickBot="1" x14ac:dyDescent="0.25">
      <c r="A1" s="2"/>
      <c r="B1" s="2"/>
      <c r="C1" s="2"/>
      <c r="D1" s="2"/>
      <c r="E1" s="2"/>
      <c r="F1" s="2"/>
      <c r="G1" s="2"/>
    </row>
    <row r="2" spans="1:7" ht="16.5" thickTop="1" x14ac:dyDescent="0.25">
      <c r="A2" s="2"/>
      <c r="B2" s="652" t="s">
        <v>111</v>
      </c>
      <c r="C2" s="644"/>
      <c r="D2" s="644"/>
      <c r="E2" s="644"/>
      <c r="F2" s="653"/>
      <c r="G2" s="2"/>
    </row>
    <row r="3" spans="1:7" ht="14.25" customHeight="1" x14ac:dyDescent="0.2">
      <c r="A3" s="2"/>
      <c r="B3" s="294"/>
      <c r="C3" s="293"/>
      <c r="D3" s="441"/>
      <c r="F3" s="252" t="str">
        <f>'Compensation Guidelines'!N16</f>
        <v xml:space="preserve"> </v>
      </c>
      <c r="G3" s="2"/>
    </row>
    <row r="4" spans="1:7" x14ac:dyDescent="0.2">
      <c r="A4" s="2"/>
      <c r="B4" s="263" t="s">
        <v>792</v>
      </c>
      <c r="F4" s="634" t="str">
        <f>VERSION</f>
        <v>11-30</v>
      </c>
      <c r="G4" s="2"/>
    </row>
    <row r="5" spans="1:7" s="84" customFormat="1" ht="17.25" customHeight="1" x14ac:dyDescent="0.2">
      <c r="A5" s="83"/>
      <c r="B5" s="264" t="s">
        <v>120</v>
      </c>
      <c r="F5" s="265"/>
      <c r="G5" s="83"/>
    </row>
    <row r="6" spans="1:7" ht="18.75" customHeight="1" x14ac:dyDescent="0.2">
      <c r="A6" s="2"/>
      <c r="B6" s="266"/>
      <c r="C6" s="651" t="s">
        <v>168</v>
      </c>
      <c r="D6" s="651"/>
      <c r="E6" s="267" t="s">
        <v>476</v>
      </c>
      <c r="F6" s="254"/>
      <c r="G6" s="2"/>
    </row>
    <row r="7" spans="1:7" ht="30.75" customHeight="1" x14ac:dyDescent="0.2">
      <c r="A7" s="2"/>
      <c r="B7" s="253"/>
      <c r="C7" s="651" t="s">
        <v>115</v>
      </c>
      <c r="D7" s="651"/>
      <c r="E7" s="268" t="s">
        <v>571</v>
      </c>
      <c r="F7" s="269"/>
      <c r="G7" s="2"/>
    </row>
    <row r="8" spans="1:7" ht="32.25" customHeight="1" x14ac:dyDescent="0.2">
      <c r="A8" s="2"/>
      <c r="B8" s="253"/>
      <c r="C8" s="651" t="s">
        <v>116</v>
      </c>
      <c r="D8" s="651"/>
      <c r="E8" s="267" t="s">
        <v>398</v>
      </c>
      <c r="F8" s="269"/>
      <c r="G8" s="2"/>
    </row>
    <row r="9" spans="1:7" ht="30.75" customHeight="1" x14ac:dyDescent="0.2">
      <c r="A9" s="2"/>
      <c r="B9" s="253"/>
      <c r="C9" s="651" t="s">
        <v>401</v>
      </c>
      <c r="D9" s="651"/>
      <c r="E9" s="267" t="s">
        <v>587</v>
      </c>
      <c r="F9" s="269"/>
      <c r="G9" s="2"/>
    </row>
    <row r="10" spans="1:7" ht="30.75" customHeight="1" x14ac:dyDescent="0.2">
      <c r="A10" s="2"/>
      <c r="B10" s="253"/>
      <c r="C10" s="651" t="s">
        <v>570</v>
      </c>
      <c r="D10" s="651"/>
      <c r="E10" s="267" t="s">
        <v>592</v>
      </c>
      <c r="F10" s="269"/>
      <c r="G10" s="2"/>
    </row>
    <row r="11" spans="1:7" ht="31.5" customHeight="1" x14ac:dyDescent="0.2">
      <c r="A11" s="2"/>
      <c r="B11" s="253"/>
      <c r="C11" s="651" t="s">
        <v>605</v>
      </c>
      <c r="D11" s="651"/>
      <c r="E11" s="267" t="s">
        <v>588</v>
      </c>
      <c r="F11" s="269"/>
      <c r="G11" s="2"/>
    </row>
    <row r="12" spans="1:7" ht="33.75" customHeight="1" x14ac:dyDescent="0.2">
      <c r="A12" s="2"/>
      <c r="B12" s="253"/>
      <c r="C12" s="651" t="s">
        <v>117</v>
      </c>
      <c r="D12" s="651"/>
      <c r="E12" s="267" t="s">
        <v>169</v>
      </c>
      <c r="F12" s="271"/>
      <c r="G12" s="2"/>
    </row>
    <row r="13" spans="1:7" ht="44.25" customHeight="1" x14ac:dyDescent="0.2">
      <c r="A13" s="2"/>
      <c r="B13" s="253"/>
      <c r="C13" s="651" t="s">
        <v>118</v>
      </c>
      <c r="D13" s="651"/>
      <c r="E13" s="270" t="s">
        <v>119</v>
      </c>
      <c r="F13" s="269"/>
      <c r="G13" s="2"/>
    </row>
    <row r="14" spans="1:7" ht="27" customHeight="1" x14ac:dyDescent="0.2">
      <c r="A14" s="2"/>
      <c r="B14" s="253"/>
      <c r="C14" s="651" t="s">
        <v>793</v>
      </c>
      <c r="D14" s="651"/>
      <c r="E14" s="267" t="s">
        <v>816</v>
      </c>
      <c r="F14" s="271"/>
      <c r="G14" s="2"/>
    </row>
    <row r="15" spans="1:7" x14ac:dyDescent="0.2">
      <c r="A15" s="2"/>
      <c r="B15" s="253"/>
      <c r="F15" s="254"/>
      <c r="G15" s="2"/>
    </row>
    <row r="16" spans="1:7" ht="40.5" customHeight="1" x14ac:dyDescent="0.2">
      <c r="A16" s="2"/>
      <c r="B16" s="654" t="s">
        <v>399</v>
      </c>
      <c r="C16" s="655"/>
      <c r="D16" s="655"/>
      <c r="E16" s="655"/>
      <c r="F16" s="272"/>
      <c r="G16" s="2"/>
    </row>
    <row r="17" spans="1:7" x14ac:dyDescent="0.2">
      <c r="A17" s="2"/>
      <c r="B17" s="253"/>
      <c r="F17" s="254"/>
      <c r="G17" s="2"/>
    </row>
    <row r="18" spans="1:7" x14ac:dyDescent="0.2">
      <c r="A18" s="2"/>
      <c r="B18" s="263" t="s">
        <v>400</v>
      </c>
      <c r="F18" s="254"/>
      <c r="G18" s="2"/>
    </row>
    <row r="19" spans="1:7" x14ac:dyDescent="0.2">
      <c r="A19" s="2"/>
      <c r="B19" s="263"/>
      <c r="F19" s="254"/>
      <c r="G19" s="2"/>
    </row>
    <row r="20" spans="1:7" x14ac:dyDescent="0.2">
      <c r="A20" s="2"/>
      <c r="B20" s="253"/>
      <c r="C20" s="274" t="s">
        <v>112</v>
      </c>
      <c r="D20" s="642" t="s">
        <v>404</v>
      </c>
      <c r="E20" s="642"/>
      <c r="F20" s="254"/>
      <c r="G20" s="2"/>
    </row>
    <row r="21" spans="1:7" ht="27" customHeight="1" x14ac:dyDescent="0.2">
      <c r="A21" s="2"/>
      <c r="B21" s="253"/>
      <c r="C21" s="96"/>
      <c r="D21" s="642"/>
      <c r="E21" s="642"/>
      <c r="F21" s="254"/>
      <c r="G21" s="2"/>
    </row>
    <row r="22" spans="1:7" x14ac:dyDescent="0.2">
      <c r="A22" s="2"/>
      <c r="B22" s="253"/>
      <c r="C22" s="262" t="s">
        <v>113</v>
      </c>
      <c r="D22" s="642" t="s">
        <v>405</v>
      </c>
      <c r="E22" s="642"/>
      <c r="F22" s="254"/>
      <c r="G22" s="2"/>
    </row>
    <row r="23" spans="1:7" ht="51.75" customHeight="1" x14ac:dyDescent="0.2">
      <c r="A23" s="2"/>
      <c r="B23" s="253"/>
      <c r="D23" s="642"/>
      <c r="E23" s="642"/>
      <c r="F23" s="254"/>
      <c r="G23" s="2"/>
    </row>
    <row r="24" spans="1:7" ht="12.75" customHeight="1" x14ac:dyDescent="0.2">
      <c r="A24" s="2"/>
      <c r="B24" s="253"/>
      <c r="C24" s="248" t="s">
        <v>114</v>
      </c>
      <c r="D24" s="649" t="s">
        <v>403</v>
      </c>
      <c r="E24" s="642"/>
      <c r="F24" s="269"/>
      <c r="G24" s="2"/>
    </row>
    <row r="25" spans="1:7" ht="90" customHeight="1" x14ac:dyDescent="0.2">
      <c r="A25" s="2"/>
      <c r="B25" s="253"/>
      <c r="D25" s="275"/>
      <c r="E25" s="276" t="s">
        <v>402</v>
      </c>
      <c r="F25" s="269"/>
      <c r="G25" s="2"/>
    </row>
    <row r="26" spans="1:7" x14ac:dyDescent="0.2">
      <c r="A26" s="2"/>
      <c r="B26" s="263" t="s">
        <v>418</v>
      </c>
      <c r="F26" s="254"/>
      <c r="G26" s="2"/>
    </row>
    <row r="27" spans="1:7" x14ac:dyDescent="0.2">
      <c r="A27" s="2"/>
      <c r="B27" s="253"/>
      <c r="C27" s="103" t="s">
        <v>586</v>
      </c>
      <c r="F27" s="254"/>
      <c r="G27" s="2"/>
    </row>
    <row r="28" spans="1:7" x14ac:dyDescent="0.2">
      <c r="A28" s="2"/>
      <c r="B28" s="253"/>
      <c r="C28" s="103" t="s">
        <v>419</v>
      </c>
      <c r="F28" s="254"/>
      <c r="G28" s="2"/>
    </row>
    <row r="29" spans="1:7" x14ac:dyDescent="0.2">
      <c r="A29" s="2"/>
      <c r="B29" s="253"/>
      <c r="C29" s="103" t="s">
        <v>420</v>
      </c>
      <c r="F29" s="254"/>
      <c r="G29" s="2"/>
    </row>
    <row r="30" spans="1:7" x14ac:dyDescent="0.2">
      <c r="A30" s="2"/>
      <c r="B30" s="253"/>
      <c r="C30" s="103" t="s">
        <v>421</v>
      </c>
      <c r="F30" s="254"/>
      <c r="G30" s="2"/>
    </row>
    <row r="31" spans="1:7" ht="12.75" customHeight="1" x14ac:dyDescent="0.2">
      <c r="A31" s="2"/>
      <c r="B31" s="253"/>
      <c r="F31" s="254"/>
      <c r="G31" s="2"/>
    </row>
    <row r="32" spans="1:7" x14ac:dyDescent="0.2">
      <c r="A32" s="2"/>
      <c r="B32" s="263" t="s">
        <v>573</v>
      </c>
      <c r="D32" s="275"/>
      <c r="E32" s="275"/>
      <c r="F32" s="269"/>
      <c r="G32" s="2"/>
    </row>
    <row r="33" spans="1:7" x14ac:dyDescent="0.2">
      <c r="A33" s="2"/>
      <c r="B33" s="263" t="s">
        <v>409</v>
      </c>
      <c r="D33" s="275"/>
      <c r="E33" s="275"/>
      <c r="F33" s="269"/>
      <c r="G33" s="2"/>
    </row>
    <row r="34" spans="1:7" x14ac:dyDescent="0.2">
      <c r="A34" s="2"/>
      <c r="B34" s="253"/>
      <c r="C34" s="287" t="s">
        <v>685</v>
      </c>
      <c r="D34" s="276"/>
      <c r="E34" s="275"/>
      <c r="F34" s="269"/>
      <c r="G34" s="2"/>
    </row>
    <row r="35" spans="1:7" ht="69" customHeight="1" x14ac:dyDescent="0.2">
      <c r="A35" s="2"/>
      <c r="B35" s="253"/>
      <c r="C35" s="287" t="s">
        <v>686</v>
      </c>
      <c r="D35" s="276"/>
      <c r="E35" s="432" t="s">
        <v>684</v>
      </c>
      <c r="F35" s="269"/>
      <c r="G35" s="2"/>
    </row>
    <row r="36" spans="1:7" x14ac:dyDescent="0.2">
      <c r="A36" s="2"/>
      <c r="B36" s="263" t="s">
        <v>410</v>
      </c>
      <c r="F36" s="254"/>
      <c r="G36" s="2"/>
    </row>
    <row r="37" spans="1:7" x14ac:dyDescent="0.2">
      <c r="A37" s="2"/>
      <c r="B37" s="253"/>
      <c r="C37" s="103" t="s">
        <v>687</v>
      </c>
      <c r="F37" s="254"/>
      <c r="G37" s="2"/>
    </row>
    <row r="38" spans="1:7" x14ac:dyDescent="0.2">
      <c r="A38" s="2"/>
      <c r="B38" s="253"/>
      <c r="C38" s="642" t="s">
        <v>688</v>
      </c>
      <c r="D38" s="642"/>
      <c r="E38" s="642"/>
      <c r="F38" s="254"/>
      <c r="G38" s="2"/>
    </row>
    <row r="39" spans="1:7" ht="34.5" customHeight="1" x14ac:dyDescent="0.2">
      <c r="A39" s="2"/>
      <c r="B39" s="253"/>
      <c r="C39" s="276"/>
      <c r="D39" s="642" t="s">
        <v>689</v>
      </c>
      <c r="E39" s="642"/>
      <c r="F39" s="254"/>
      <c r="G39" s="2"/>
    </row>
    <row r="40" spans="1:7" x14ac:dyDescent="0.2">
      <c r="A40" s="2"/>
      <c r="B40" s="263" t="s">
        <v>411</v>
      </c>
      <c r="C40" s="276"/>
      <c r="D40" s="276"/>
      <c r="E40" s="276"/>
      <c r="F40" s="254"/>
      <c r="G40" s="2"/>
    </row>
    <row r="41" spans="1:7" x14ac:dyDescent="0.2">
      <c r="A41" s="2"/>
      <c r="B41" s="253"/>
      <c r="C41" s="287" t="s">
        <v>690</v>
      </c>
      <c r="D41" s="84"/>
      <c r="E41" s="84"/>
      <c r="F41" s="254"/>
      <c r="G41" s="2"/>
    </row>
    <row r="42" spans="1:7" x14ac:dyDescent="0.2">
      <c r="A42" s="2"/>
      <c r="B42" s="253"/>
      <c r="C42" s="103" t="s">
        <v>691</v>
      </c>
      <c r="F42" s="254"/>
      <c r="G42" s="2"/>
    </row>
    <row r="43" spans="1:7" x14ac:dyDescent="0.2">
      <c r="A43" s="2"/>
      <c r="B43" s="253"/>
      <c r="D43" s="103" t="s">
        <v>414</v>
      </c>
      <c r="F43" s="254"/>
      <c r="G43" s="2"/>
    </row>
    <row r="44" spans="1:7" x14ac:dyDescent="0.2">
      <c r="A44" s="2"/>
      <c r="B44" s="253"/>
      <c r="D44" s="103" t="s">
        <v>415</v>
      </c>
      <c r="F44" s="254"/>
      <c r="G44" s="2"/>
    </row>
    <row r="45" spans="1:7" x14ac:dyDescent="0.2">
      <c r="A45" s="2"/>
      <c r="B45" s="253"/>
      <c r="D45" s="103" t="s">
        <v>416</v>
      </c>
      <c r="F45" s="254"/>
      <c r="G45" s="2"/>
    </row>
    <row r="46" spans="1:7" x14ac:dyDescent="0.2">
      <c r="A46" s="2"/>
      <c r="B46" s="253"/>
      <c r="C46" s="103" t="s">
        <v>692</v>
      </c>
      <c r="F46" s="254"/>
      <c r="G46" s="2"/>
    </row>
    <row r="47" spans="1:7" x14ac:dyDescent="0.2">
      <c r="A47" s="2"/>
      <c r="B47" s="253"/>
      <c r="C47" s="103" t="s">
        <v>719</v>
      </c>
      <c r="F47" s="254"/>
      <c r="G47" s="2"/>
    </row>
    <row r="48" spans="1:7" ht="21" customHeight="1" x14ac:dyDescent="0.2">
      <c r="A48" s="2"/>
      <c r="B48" s="253"/>
      <c r="C48" s="287" t="s">
        <v>693</v>
      </c>
      <c r="F48" s="254"/>
      <c r="G48" s="2"/>
    </row>
    <row r="49" spans="1:7" x14ac:dyDescent="0.2">
      <c r="A49" s="2"/>
      <c r="B49" s="263" t="s">
        <v>412</v>
      </c>
      <c r="C49" s="287"/>
      <c r="F49" s="254"/>
      <c r="G49" s="2"/>
    </row>
    <row r="50" spans="1:7" ht="33.75" customHeight="1" x14ac:dyDescent="0.2">
      <c r="A50" s="2"/>
      <c r="B50" s="253"/>
      <c r="C50" s="642" t="s">
        <v>845</v>
      </c>
      <c r="D50" s="643"/>
      <c r="E50" s="643"/>
      <c r="F50" s="254"/>
      <c r="G50" s="2"/>
    </row>
    <row r="51" spans="1:7" x14ac:dyDescent="0.2">
      <c r="A51" s="2"/>
      <c r="B51" s="263" t="s">
        <v>413</v>
      </c>
      <c r="C51" s="276"/>
      <c r="D51" s="84"/>
      <c r="E51" s="84"/>
      <c r="F51" s="254"/>
      <c r="G51" s="2"/>
    </row>
    <row r="52" spans="1:7" ht="12" customHeight="1" x14ac:dyDescent="0.2">
      <c r="A52" s="2"/>
      <c r="B52" s="263"/>
      <c r="C52" s="287" t="s">
        <v>794</v>
      </c>
      <c r="D52" s="84"/>
      <c r="E52" s="84"/>
      <c r="F52" s="254"/>
      <c r="G52" s="2"/>
    </row>
    <row r="53" spans="1:7" x14ac:dyDescent="0.2">
      <c r="A53" s="2"/>
      <c r="B53" s="263"/>
      <c r="C53" s="650" t="s">
        <v>694</v>
      </c>
      <c r="D53" s="650"/>
      <c r="E53" s="650"/>
      <c r="F53" s="254"/>
      <c r="G53" s="2"/>
    </row>
    <row r="54" spans="1:7" ht="13.5" customHeight="1" x14ac:dyDescent="0.2">
      <c r="A54" s="2"/>
      <c r="B54" s="253"/>
      <c r="C54" s="642" t="s">
        <v>695</v>
      </c>
      <c r="D54" s="642"/>
      <c r="E54" s="642"/>
      <c r="F54" s="254"/>
      <c r="G54" s="2"/>
    </row>
    <row r="55" spans="1:7" ht="54" customHeight="1" x14ac:dyDescent="0.2">
      <c r="A55" s="2"/>
      <c r="B55" s="263"/>
      <c r="C55" s="642" t="s">
        <v>795</v>
      </c>
      <c r="D55" s="642"/>
      <c r="E55" s="642"/>
      <c r="F55" s="254"/>
      <c r="G55" s="2"/>
    </row>
    <row r="56" spans="1:7" ht="15.75" customHeight="1" x14ac:dyDescent="0.2">
      <c r="A56" s="2"/>
      <c r="B56" s="253"/>
      <c r="C56" s="650" t="s">
        <v>696</v>
      </c>
      <c r="D56" s="650"/>
      <c r="E56" s="650"/>
      <c r="F56" s="254"/>
      <c r="G56" s="2"/>
    </row>
    <row r="57" spans="1:7" ht="27.75" customHeight="1" x14ac:dyDescent="0.2">
      <c r="A57" s="2"/>
      <c r="B57" s="253"/>
      <c r="C57" s="642" t="s">
        <v>796</v>
      </c>
      <c r="D57" s="650"/>
      <c r="E57" s="650"/>
      <c r="F57" s="254"/>
      <c r="G57" s="2"/>
    </row>
    <row r="58" spans="1:7" ht="52.5" customHeight="1" x14ac:dyDescent="0.2">
      <c r="A58" s="2"/>
      <c r="B58" s="253"/>
      <c r="C58" s="84"/>
      <c r="D58" s="642" t="s">
        <v>697</v>
      </c>
      <c r="E58" s="642"/>
      <c r="F58" s="254"/>
      <c r="G58" s="2"/>
    </row>
    <row r="59" spans="1:7" ht="26.25" customHeight="1" x14ac:dyDescent="0.2">
      <c r="A59" s="2"/>
      <c r="B59" s="253"/>
      <c r="C59" s="642" t="s">
        <v>703</v>
      </c>
      <c r="D59" s="642"/>
      <c r="E59" s="642"/>
      <c r="F59" s="254"/>
      <c r="G59" s="2"/>
    </row>
    <row r="60" spans="1:7" ht="41.25" customHeight="1" x14ac:dyDescent="0.2">
      <c r="A60" s="2"/>
      <c r="B60" s="253"/>
      <c r="C60" s="642" t="s">
        <v>698</v>
      </c>
      <c r="D60" s="642"/>
      <c r="E60" s="642"/>
      <c r="F60" s="254"/>
      <c r="G60" s="2"/>
    </row>
    <row r="61" spans="1:7" ht="27.75" customHeight="1" x14ac:dyDescent="0.2">
      <c r="A61" s="2"/>
      <c r="B61" s="253"/>
      <c r="C61" s="642" t="s">
        <v>699</v>
      </c>
      <c r="D61" s="642"/>
      <c r="E61" s="642"/>
      <c r="F61" s="254"/>
      <c r="G61" s="2"/>
    </row>
    <row r="62" spans="1:7" ht="27.75" customHeight="1" x14ac:dyDescent="0.2">
      <c r="A62" s="2"/>
      <c r="B62" s="253"/>
      <c r="C62" s="642" t="s">
        <v>701</v>
      </c>
      <c r="D62" s="642"/>
      <c r="E62" s="642"/>
      <c r="F62" s="254"/>
      <c r="G62" s="2"/>
    </row>
    <row r="63" spans="1:7" ht="29.25" customHeight="1" x14ac:dyDescent="0.2">
      <c r="A63" s="2"/>
      <c r="B63" s="253"/>
      <c r="C63" s="642" t="s">
        <v>846</v>
      </c>
      <c r="D63" s="642"/>
      <c r="E63" s="642"/>
      <c r="F63" s="254"/>
      <c r="G63" s="2"/>
    </row>
    <row r="64" spans="1:7" ht="44.25" customHeight="1" x14ac:dyDescent="0.2">
      <c r="A64" s="2"/>
      <c r="B64" s="253"/>
      <c r="C64" s="642" t="s">
        <v>858</v>
      </c>
      <c r="D64" s="642"/>
      <c r="E64" s="642"/>
      <c r="F64" s="254"/>
      <c r="G64" s="2"/>
    </row>
    <row r="65" spans="1:7" ht="18.75" customHeight="1" x14ac:dyDescent="0.2">
      <c r="A65" s="2"/>
      <c r="B65" s="253"/>
      <c r="C65" s="642" t="s">
        <v>702</v>
      </c>
      <c r="D65" s="642"/>
      <c r="E65" s="642"/>
      <c r="F65" s="254"/>
      <c r="G65" s="2"/>
    </row>
    <row r="66" spans="1:7" ht="60.75" customHeight="1" x14ac:dyDescent="0.2">
      <c r="A66" s="2"/>
      <c r="B66" s="253"/>
      <c r="C66" s="651" t="s">
        <v>797</v>
      </c>
      <c r="D66" s="642"/>
      <c r="E66" s="642"/>
      <c r="F66" s="254"/>
      <c r="G66" s="2"/>
    </row>
    <row r="67" spans="1:7" ht="17.25" customHeight="1" x14ac:dyDescent="0.2">
      <c r="A67" s="2"/>
      <c r="B67" s="263" t="s">
        <v>704</v>
      </c>
      <c r="C67" s="276"/>
      <c r="D67" s="287"/>
      <c r="E67" s="287"/>
      <c r="F67" s="254"/>
      <c r="G67" s="2"/>
    </row>
    <row r="68" spans="1:7" ht="72" customHeight="1" x14ac:dyDescent="0.2">
      <c r="A68" s="2"/>
      <c r="B68" s="253"/>
      <c r="C68" s="642" t="s">
        <v>798</v>
      </c>
      <c r="D68" s="642"/>
      <c r="E68" s="642"/>
      <c r="F68" s="254"/>
      <c r="G68" s="2"/>
    </row>
    <row r="69" spans="1:7" ht="49.5" customHeight="1" x14ac:dyDescent="0.2">
      <c r="A69" s="2"/>
      <c r="B69" s="253"/>
      <c r="C69" s="642" t="s">
        <v>705</v>
      </c>
      <c r="D69" s="642"/>
      <c r="E69" s="642"/>
      <c r="F69" s="254"/>
      <c r="G69" s="2"/>
    </row>
    <row r="70" spans="1:7" ht="46.5" customHeight="1" x14ac:dyDescent="0.2">
      <c r="A70" s="2"/>
      <c r="B70" s="253"/>
      <c r="C70" s="642" t="s">
        <v>706</v>
      </c>
      <c r="D70" s="642"/>
      <c r="E70" s="642"/>
      <c r="F70" s="254"/>
      <c r="G70" s="2"/>
    </row>
    <row r="71" spans="1:7" ht="32.25" customHeight="1" x14ac:dyDescent="0.2">
      <c r="A71" s="2"/>
      <c r="B71" s="253"/>
      <c r="C71" s="642" t="s">
        <v>475</v>
      </c>
      <c r="D71" s="650"/>
      <c r="E71" s="650"/>
      <c r="F71" s="254"/>
      <c r="G71" s="2"/>
    </row>
    <row r="72" spans="1:7" ht="44.25" customHeight="1" x14ac:dyDescent="0.2">
      <c r="A72" s="2"/>
      <c r="B72" s="253"/>
      <c r="C72" s="642" t="s">
        <v>799</v>
      </c>
      <c r="D72" s="642"/>
      <c r="E72" s="642"/>
      <c r="F72" s="254"/>
      <c r="G72" s="2"/>
    </row>
    <row r="73" spans="1:7" ht="58.5" customHeight="1" x14ac:dyDescent="0.2">
      <c r="A73" s="2"/>
      <c r="B73" s="253"/>
      <c r="C73" s="642" t="s">
        <v>589</v>
      </c>
      <c r="D73" s="643"/>
      <c r="E73" s="643"/>
      <c r="F73" s="254"/>
      <c r="G73" s="2"/>
    </row>
    <row r="74" spans="1:7" ht="84.75" customHeight="1" x14ac:dyDescent="0.2">
      <c r="A74" s="2"/>
      <c r="B74" s="253"/>
      <c r="C74" s="642" t="s">
        <v>848</v>
      </c>
      <c r="D74" s="642"/>
      <c r="E74" s="642"/>
      <c r="F74" s="254"/>
      <c r="G74" s="2"/>
    </row>
    <row r="75" spans="1:7" ht="70.5" customHeight="1" x14ac:dyDescent="0.2">
      <c r="A75" s="2"/>
      <c r="B75" s="253"/>
      <c r="C75" s="642" t="s">
        <v>800</v>
      </c>
      <c r="D75" s="642"/>
      <c r="E75" s="642"/>
      <c r="F75" s="254"/>
      <c r="G75" s="2"/>
    </row>
    <row r="76" spans="1:7" ht="56.25" customHeight="1" x14ac:dyDescent="0.2">
      <c r="A76" s="2"/>
      <c r="B76" s="253"/>
      <c r="C76" s="642" t="s">
        <v>849</v>
      </c>
      <c r="D76" s="642"/>
      <c r="E76" s="642"/>
      <c r="F76" s="254"/>
      <c r="G76" s="2"/>
    </row>
    <row r="77" spans="1:7" ht="119.25" customHeight="1" x14ac:dyDescent="0.2">
      <c r="A77" s="2"/>
      <c r="B77" s="253"/>
      <c r="C77" s="642" t="s">
        <v>847</v>
      </c>
      <c r="D77" s="642"/>
      <c r="E77" s="642"/>
      <c r="F77" s="254"/>
      <c r="G77" s="2"/>
    </row>
    <row r="78" spans="1:7" ht="144" customHeight="1" x14ac:dyDescent="0.2">
      <c r="A78" s="2"/>
      <c r="B78" s="253"/>
      <c r="C78" s="642" t="s">
        <v>850</v>
      </c>
      <c r="D78" s="642"/>
      <c r="E78" s="642"/>
      <c r="F78" s="254"/>
      <c r="G78" s="2"/>
    </row>
    <row r="79" spans="1:7" ht="55.5" customHeight="1" x14ac:dyDescent="0.2">
      <c r="A79" s="2"/>
      <c r="B79" s="253"/>
      <c r="C79" s="642" t="s">
        <v>851</v>
      </c>
      <c r="D79" s="642"/>
      <c r="E79" s="642"/>
      <c r="F79" s="254"/>
      <c r="G79" s="2"/>
    </row>
    <row r="80" spans="1:7" ht="56.25" customHeight="1" x14ac:dyDescent="0.2">
      <c r="A80" s="2"/>
      <c r="B80" s="253"/>
      <c r="C80" s="642" t="s">
        <v>852</v>
      </c>
      <c r="D80" s="642"/>
      <c r="E80" s="642"/>
      <c r="F80" s="254"/>
      <c r="G80" s="2"/>
    </row>
    <row r="81" spans="1:7" ht="69.75" customHeight="1" x14ac:dyDescent="0.2">
      <c r="A81" s="2"/>
      <c r="B81" s="253"/>
      <c r="C81" s="642" t="s">
        <v>853</v>
      </c>
      <c r="D81" s="642"/>
      <c r="E81" s="642"/>
      <c r="F81" s="254"/>
      <c r="G81" s="2"/>
    </row>
    <row r="82" spans="1:7" ht="55.5" customHeight="1" x14ac:dyDescent="0.2">
      <c r="A82" s="2"/>
      <c r="B82" s="253"/>
      <c r="C82" s="642" t="s">
        <v>801</v>
      </c>
      <c r="D82" s="642"/>
      <c r="E82" s="642"/>
      <c r="F82" s="254"/>
      <c r="G82" s="2"/>
    </row>
    <row r="83" spans="1:7" ht="71.25" customHeight="1" x14ac:dyDescent="0.2">
      <c r="A83" s="2"/>
      <c r="B83" s="253"/>
      <c r="C83" s="642" t="s">
        <v>854</v>
      </c>
      <c r="D83" s="642"/>
      <c r="E83" s="642"/>
      <c r="F83" s="254"/>
      <c r="G83" s="2"/>
    </row>
    <row r="84" spans="1:7" ht="74.25" customHeight="1" x14ac:dyDescent="0.2">
      <c r="A84" s="2"/>
      <c r="B84" s="253"/>
      <c r="C84" s="642" t="s">
        <v>716</v>
      </c>
      <c r="D84" s="642"/>
      <c r="E84" s="642"/>
      <c r="F84" s="254"/>
      <c r="G84" s="2"/>
    </row>
    <row r="85" spans="1:7" ht="15.75" customHeight="1" x14ac:dyDescent="0.2">
      <c r="A85" s="2"/>
      <c r="B85" s="253"/>
      <c r="C85" s="651" t="s">
        <v>590</v>
      </c>
      <c r="D85" s="651"/>
      <c r="E85" s="651"/>
      <c r="F85" s="254"/>
      <c r="G85" s="2"/>
    </row>
    <row r="86" spans="1:7" ht="71.25" customHeight="1" x14ac:dyDescent="0.2">
      <c r="A86" s="2"/>
      <c r="B86" s="253"/>
      <c r="C86" s="379"/>
      <c r="D86" s="651" t="s">
        <v>802</v>
      </c>
      <c r="E86" s="651"/>
      <c r="F86" s="254"/>
      <c r="G86" s="2"/>
    </row>
    <row r="87" spans="1:7" ht="47.25" customHeight="1" x14ac:dyDescent="0.2">
      <c r="A87" s="2"/>
      <c r="B87" s="253"/>
      <c r="C87" s="379"/>
      <c r="D87" s="651" t="s">
        <v>591</v>
      </c>
      <c r="E87" s="651"/>
      <c r="F87" s="254"/>
      <c r="G87" s="2"/>
    </row>
    <row r="88" spans="1:7" ht="81" customHeight="1" x14ac:dyDescent="0.2">
      <c r="A88" s="2"/>
      <c r="B88" s="253"/>
      <c r="C88" s="379"/>
      <c r="D88" s="651" t="s">
        <v>817</v>
      </c>
      <c r="E88" s="651"/>
      <c r="F88" s="254"/>
      <c r="G88" s="2"/>
    </row>
    <row r="89" spans="1:7" ht="95.25" customHeight="1" x14ac:dyDescent="0.2">
      <c r="A89" s="2"/>
      <c r="B89" s="253"/>
      <c r="C89" s="379"/>
      <c r="D89" s="651" t="s">
        <v>593</v>
      </c>
      <c r="E89" s="651"/>
      <c r="F89" s="254"/>
      <c r="G89" s="2"/>
    </row>
    <row r="90" spans="1:7" ht="71.25" customHeight="1" x14ac:dyDescent="0.2">
      <c r="A90" s="2"/>
      <c r="B90" s="263"/>
      <c r="C90" s="379"/>
      <c r="D90" s="651" t="s">
        <v>818</v>
      </c>
      <c r="E90" s="651"/>
      <c r="F90" s="254"/>
      <c r="G90" s="2"/>
    </row>
    <row r="91" spans="1:7" ht="15.75" customHeight="1" x14ac:dyDescent="0.2">
      <c r="A91" s="2"/>
      <c r="B91" s="263" t="s">
        <v>572</v>
      </c>
      <c r="C91" s="379"/>
      <c r="D91" s="456"/>
      <c r="E91" s="456"/>
      <c r="F91" s="254"/>
      <c r="G91" s="2"/>
    </row>
    <row r="92" spans="1:7" ht="41.25" customHeight="1" x14ac:dyDescent="0.2">
      <c r="A92" s="2"/>
      <c r="B92" s="253"/>
      <c r="C92" s="642" t="s">
        <v>857</v>
      </c>
      <c r="D92" s="642"/>
      <c r="E92" s="642"/>
      <c r="F92" s="254"/>
      <c r="G92" s="2"/>
    </row>
    <row r="93" spans="1:7" ht="14.25" customHeight="1" x14ac:dyDescent="0.2">
      <c r="A93" s="2"/>
      <c r="B93" s="253"/>
      <c r="C93" s="103" t="s">
        <v>725</v>
      </c>
      <c r="F93" s="254"/>
      <c r="G93" s="2"/>
    </row>
    <row r="94" spans="1:7" ht="17.25" customHeight="1" x14ac:dyDescent="0.2">
      <c r="A94" s="2"/>
      <c r="B94" s="263"/>
      <c r="C94" s="287" t="s">
        <v>724</v>
      </c>
      <c r="F94" s="254"/>
      <c r="G94" s="2"/>
    </row>
    <row r="95" spans="1:7" ht="24.75" customHeight="1" x14ac:dyDescent="0.2">
      <c r="A95" s="2"/>
      <c r="B95" s="263" t="s">
        <v>717</v>
      </c>
      <c r="F95" s="254"/>
      <c r="G95" s="2"/>
    </row>
    <row r="96" spans="1:7" ht="28.5" customHeight="1" x14ac:dyDescent="0.2">
      <c r="A96" s="2"/>
      <c r="B96" s="253"/>
      <c r="C96" s="642" t="s">
        <v>803</v>
      </c>
      <c r="D96" s="642"/>
      <c r="E96" s="642"/>
      <c r="F96" s="254"/>
      <c r="G96" s="2"/>
    </row>
    <row r="97" spans="1:7" ht="18" customHeight="1" x14ac:dyDescent="0.2">
      <c r="A97" s="2"/>
      <c r="B97" s="253"/>
      <c r="C97" s="642" t="s">
        <v>804</v>
      </c>
      <c r="D97" s="642"/>
      <c r="E97" s="642"/>
      <c r="F97" s="254"/>
      <c r="G97" s="2"/>
    </row>
    <row r="98" spans="1:7" ht="45" customHeight="1" x14ac:dyDescent="0.2">
      <c r="A98" s="2"/>
      <c r="B98" s="253"/>
      <c r="C98" s="642" t="s">
        <v>805</v>
      </c>
      <c r="D98" s="642"/>
      <c r="E98" s="642"/>
      <c r="F98" s="254"/>
      <c r="G98" s="2"/>
    </row>
    <row r="99" spans="1:7" ht="24.75" customHeight="1" x14ac:dyDescent="0.2">
      <c r="A99" s="2"/>
      <c r="B99" s="253"/>
      <c r="C99" s="287" t="s">
        <v>417</v>
      </c>
      <c r="F99" s="254"/>
      <c r="G99" s="2"/>
    </row>
    <row r="100" spans="1:7" x14ac:dyDescent="0.2">
      <c r="A100" s="2"/>
      <c r="B100" s="263" t="s">
        <v>718</v>
      </c>
      <c r="C100" s="103"/>
      <c r="F100" s="254"/>
      <c r="G100" s="2"/>
    </row>
    <row r="101" spans="1:7" ht="86.25" customHeight="1" x14ac:dyDescent="0.2">
      <c r="A101" s="2"/>
      <c r="B101" s="253"/>
      <c r="C101" s="642" t="s">
        <v>752</v>
      </c>
      <c r="D101" s="642"/>
      <c r="E101" s="642"/>
      <c r="F101" s="254"/>
      <c r="G101" s="2"/>
    </row>
    <row r="102" spans="1:7" ht="70.5" customHeight="1" x14ac:dyDescent="0.2">
      <c r="A102" s="2"/>
      <c r="B102" s="253"/>
      <c r="C102" s="642" t="s">
        <v>855</v>
      </c>
      <c r="D102" s="642"/>
      <c r="E102" s="642"/>
      <c r="F102" s="254"/>
      <c r="G102" s="2"/>
    </row>
    <row r="103" spans="1:7" ht="93" customHeight="1" x14ac:dyDescent="0.2">
      <c r="A103" s="2"/>
      <c r="B103" s="253"/>
      <c r="C103" s="642" t="s">
        <v>856</v>
      </c>
      <c r="D103" s="642"/>
      <c r="E103" s="642"/>
      <c r="F103" s="254"/>
      <c r="G103" s="2"/>
    </row>
    <row r="104" spans="1:7" ht="15.75" customHeight="1" x14ac:dyDescent="0.2">
      <c r="A104" s="2"/>
      <c r="B104" s="263" t="s">
        <v>121</v>
      </c>
      <c r="F104" s="254"/>
      <c r="G104" s="2"/>
    </row>
    <row r="105" spans="1:7" x14ac:dyDescent="0.2">
      <c r="A105" s="2"/>
      <c r="B105" s="253"/>
      <c r="C105" s="648" t="s">
        <v>122</v>
      </c>
      <c r="D105" s="648"/>
      <c r="E105" s="648"/>
      <c r="F105" s="254"/>
      <c r="G105" s="2"/>
    </row>
    <row r="106" spans="1:7" x14ac:dyDescent="0.2">
      <c r="A106" s="2"/>
      <c r="B106" s="253"/>
      <c r="E106" t="s">
        <v>125</v>
      </c>
      <c r="F106" s="254"/>
      <c r="G106" s="2"/>
    </row>
    <row r="107" spans="1:7" x14ac:dyDescent="0.2">
      <c r="A107" s="2"/>
      <c r="B107" s="253"/>
      <c r="E107" t="s">
        <v>123</v>
      </c>
      <c r="F107" s="254"/>
      <c r="G107" s="2"/>
    </row>
    <row r="108" spans="1:7" x14ac:dyDescent="0.2">
      <c r="A108" s="2"/>
      <c r="B108" s="273" t="str">
        <f>'Compensation Guidelines'!N16</f>
        <v xml:space="preserve"> </v>
      </c>
      <c r="E108" s="258" t="s">
        <v>124</v>
      </c>
      <c r="F108" s="254"/>
      <c r="G108" s="2"/>
    </row>
    <row r="109" spans="1:7" ht="13.5" thickBot="1" x14ac:dyDescent="0.25">
      <c r="A109" s="2"/>
      <c r="B109" s="259"/>
      <c r="C109" s="260"/>
      <c r="D109" s="260"/>
      <c r="E109" s="260"/>
      <c r="F109" s="261"/>
      <c r="G109" s="2"/>
    </row>
    <row r="110" spans="1:7" ht="13.5" thickTop="1" x14ac:dyDescent="0.2">
      <c r="A110" s="2"/>
      <c r="B110" s="2"/>
      <c r="C110" s="2"/>
      <c r="D110" s="2"/>
      <c r="E110" s="2"/>
      <c r="F110" s="2"/>
      <c r="G110" s="2"/>
    </row>
  </sheetData>
  <sheetProtection sheet="1" objects="1" scenarios="1" selectLockedCells="1" selectUnlockedCells="1"/>
  <mergeCells count="62">
    <mergeCell ref="C50:E50"/>
    <mergeCell ref="C55:E55"/>
    <mergeCell ref="C53:E53"/>
    <mergeCell ref="C68:E68"/>
    <mergeCell ref="C70:E70"/>
    <mergeCell ref="C60:E60"/>
    <mergeCell ref="C61:E61"/>
    <mergeCell ref="C62:E62"/>
    <mergeCell ref="C54:E54"/>
    <mergeCell ref="C56:E56"/>
    <mergeCell ref="C65:E65"/>
    <mergeCell ref="C63:E63"/>
    <mergeCell ref="C64:E64"/>
    <mergeCell ref="C59:E59"/>
    <mergeCell ref="C66:E66"/>
    <mergeCell ref="C69:E69"/>
    <mergeCell ref="C98:E98"/>
    <mergeCell ref="C96:E96"/>
    <mergeCell ref="C79:E79"/>
    <mergeCell ref="C84:E84"/>
    <mergeCell ref="C82:E82"/>
    <mergeCell ref="C81:E81"/>
    <mergeCell ref="C83:E83"/>
    <mergeCell ref="D90:E90"/>
    <mergeCell ref="D89:E89"/>
    <mergeCell ref="C80:E80"/>
    <mergeCell ref="B16:E16"/>
    <mergeCell ref="D20:E21"/>
    <mergeCell ref="D22:E23"/>
    <mergeCell ref="C38:E38"/>
    <mergeCell ref="D39:E39"/>
    <mergeCell ref="B2:F2"/>
    <mergeCell ref="C14:D14"/>
    <mergeCell ref="C7:D7"/>
    <mergeCell ref="C8:D8"/>
    <mergeCell ref="C9:D9"/>
    <mergeCell ref="C10:D10"/>
    <mergeCell ref="C11:D11"/>
    <mergeCell ref="C13:D13"/>
    <mergeCell ref="C6:D6"/>
    <mergeCell ref="C12:D12"/>
    <mergeCell ref="C105:E105"/>
    <mergeCell ref="D24:E24"/>
    <mergeCell ref="C57:E57"/>
    <mergeCell ref="D58:E58"/>
    <mergeCell ref="C71:E71"/>
    <mergeCell ref="C72:E72"/>
    <mergeCell ref="C92:E92"/>
    <mergeCell ref="C73:E73"/>
    <mergeCell ref="C85:E85"/>
    <mergeCell ref="C101:E101"/>
    <mergeCell ref="C102:E102"/>
    <mergeCell ref="C103:E103"/>
    <mergeCell ref="D86:E86"/>
    <mergeCell ref="D87:E87"/>
    <mergeCell ref="D88:E88"/>
    <mergeCell ref="C97:E97"/>
    <mergeCell ref="C74:E74"/>
    <mergeCell ref="C75:E75"/>
    <mergeCell ref="C77:E77"/>
    <mergeCell ref="C78:E78"/>
    <mergeCell ref="C76:E76"/>
  </mergeCells>
  <phoneticPr fontId="0" type="noConversion"/>
  <hyperlinks>
    <hyperlink ref="E108" r:id="rId1" xr:uid="{00000000-0004-0000-0100-000000000000}"/>
  </hyperlinks>
  <printOptions horizontalCentered="1"/>
  <pageMargins left="0.75" right="0.75" top="1" bottom="1" header="0.5" footer="0.5"/>
  <pageSetup fitToHeight="5" orientation="portrait" r:id="rId2"/>
  <headerFooter alignWithMargins="0">
    <oddFooter>&amp;L&amp;F&amp;C&amp;A&amp;R&amp;P / &amp;N</oddFooter>
  </headerFooter>
  <rowBreaks count="4" manualBreakCount="4">
    <brk id="25" max="16383" man="1"/>
    <brk id="58" max="16383" man="1"/>
    <brk id="73" max="16383" man="1"/>
    <brk id="90"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G60"/>
  <sheetViews>
    <sheetView showGridLines="0" showRowColHeaders="0" workbookViewId="0">
      <pane xSplit="1" ySplit="4" topLeftCell="B5" activePane="bottomRight" state="frozen"/>
      <selection activeCell="B2" sqref="B2"/>
      <selection pane="topRight" activeCell="B2" sqref="B2"/>
      <selection pane="bottomLeft" activeCell="B2" sqref="B2"/>
      <selection pane="bottomRight" activeCell="B2" sqref="B2:F2"/>
    </sheetView>
  </sheetViews>
  <sheetFormatPr defaultRowHeight="12.75" x14ac:dyDescent="0.2"/>
  <cols>
    <col min="1" max="1" width="2.140625" customWidth="1"/>
    <col min="2" max="2" width="23.5703125" customWidth="1"/>
    <col min="3" max="3" width="40.7109375" customWidth="1"/>
    <col min="4" max="4" width="18.42578125" customWidth="1"/>
    <col min="5" max="5" width="10.7109375" customWidth="1"/>
    <col min="6" max="6" width="8.5703125" customWidth="1"/>
    <col min="7" max="7" width="2.140625" customWidth="1"/>
    <col min="9" max="9" width="12.85546875" customWidth="1"/>
  </cols>
  <sheetData>
    <row r="1" spans="1:7" ht="13.5" thickBot="1" x14ac:dyDescent="0.25">
      <c r="A1" s="154" t="s">
        <v>10</v>
      </c>
      <c r="B1" s="152"/>
      <c r="C1" s="152"/>
      <c r="D1" s="152"/>
      <c r="E1" s="656"/>
      <c r="F1" s="656"/>
      <c r="G1" s="152"/>
    </row>
    <row r="2" spans="1:7" ht="48" customHeight="1" thickTop="1" thickBot="1" x14ac:dyDescent="0.25">
      <c r="A2" s="154"/>
      <c r="B2" s="658" t="s">
        <v>380</v>
      </c>
      <c r="C2" s="659"/>
      <c r="D2" s="659"/>
      <c r="E2" s="659"/>
      <c r="F2" s="660"/>
      <c r="G2" s="153"/>
    </row>
    <row r="3" spans="1:7" ht="27.75" customHeight="1" thickTop="1" thickBot="1" x14ac:dyDescent="0.25">
      <c r="A3" s="154"/>
      <c r="B3" s="663" t="str">
        <f>PRESBYTERY</f>
        <v>Presbytery of North Central Iowa</v>
      </c>
      <c r="C3" s="663"/>
      <c r="D3" s="663"/>
      <c r="E3" s="663"/>
      <c r="F3" s="663"/>
      <c r="G3" s="152"/>
    </row>
    <row r="4" spans="1:7" ht="27.75" customHeight="1" thickBot="1" x14ac:dyDescent="0.25">
      <c r="A4" s="154"/>
      <c r="B4" s="119" t="s">
        <v>204</v>
      </c>
      <c r="C4" s="120" t="s">
        <v>54</v>
      </c>
      <c r="D4" s="120" t="s">
        <v>55</v>
      </c>
      <c r="E4" s="661" t="str">
        <f>CONCATENATE(YEAR-2," Average Worship Attendance")</f>
        <v>2021 Average Worship Attendance</v>
      </c>
      <c r="F4" s="662"/>
      <c r="G4" s="152"/>
    </row>
    <row r="5" spans="1:7" x14ac:dyDescent="0.2">
      <c r="A5" s="154"/>
      <c r="B5" s="121" t="s">
        <v>205</v>
      </c>
      <c r="C5" s="114" t="s">
        <v>69</v>
      </c>
      <c r="D5" s="114" t="s">
        <v>105</v>
      </c>
      <c r="E5" s="414">
        <v>22</v>
      </c>
      <c r="F5" s="155"/>
      <c r="G5" s="152"/>
    </row>
    <row r="6" spans="1:7" x14ac:dyDescent="0.2">
      <c r="A6" s="154"/>
      <c r="B6" s="122" t="s">
        <v>206</v>
      </c>
      <c r="C6" s="115" t="s">
        <v>66</v>
      </c>
      <c r="D6" s="115" t="s">
        <v>105</v>
      </c>
      <c r="E6" s="415">
        <v>37</v>
      </c>
      <c r="F6" s="155"/>
      <c r="G6" s="152"/>
    </row>
    <row r="7" spans="1:7" x14ac:dyDescent="0.2">
      <c r="A7" s="154"/>
      <c r="B7" s="122" t="s">
        <v>207</v>
      </c>
      <c r="C7" s="115" t="s">
        <v>66</v>
      </c>
      <c r="D7" s="115" t="s">
        <v>70</v>
      </c>
      <c r="E7" s="415">
        <v>17</v>
      </c>
      <c r="F7" s="155"/>
      <c r="G7" s="152"/>
    </row>
    <row r="8" spans="1:7" x14ac:dyDescent="0.2">
      <c r="A8" s="154"/>
      <c r="B8" s="122" t="s">
        <v>208</v>
      </c>
      <c r="C8" s="115" t="s">
        <v>66</v>
      </c>
      <c r="D8" s="115" t="s">
        <v>71</v>
      </c>
      <c r="E8" s="415">
        <v>82</v>
      </c>
      <c r="F8" s="155"/>
      <c r="G8" s="152"/>
    </row>
    <row r="9" spans="1:7" x14ac:dyDescent="0.2">
      <c r="A9" s="154"/>
      <c r="B9" s="122" t="s">
        <v>209</v>
      </c>
      <c r="C9" s="115" t="s">
        <v>64</v>
      </c>
      <c r="D9" s="116" t="s">
        <v>47</v>
      </c>
      <c r="E9" s="415">
        <v>211</v>
      </c>
      <c r="F9" s="416"/>
      <c r="G9" s="152"/>
    </row>
    <row r="10" spans="1:7" x14ac:dyDescent="0.2">
      <c r="A10" s="154"/>
      <c r="B10" s="123" t="s">
        <v>210</v>
      </c>
      <c r="C10" s="116" t="s">
        <v>65</v>
      </c>
      <c r="D10" s="116" t="s">
        <v>47</v>
      </c>
      <c r="E10" s="297">
        <v>65</v>
      </c>
      <c r="F10" s="155"/>
      <c r="G10" s="152"/>
    </row>
    <row r="11" spans="1:7" x14ac:dyDescent="0.2">
      <c r="A11" s="154"/>
      <c r="B11" s="123" t="s">
        <v>211</v>
      </c>
      <c r="C11" s="116" t="s">
        <v>66</v>
      </c>
      <c r="D11" s="116" t="s">
        <v>72</v>
      </c>
      <c r="E11" s="297">
        <v>36</v>
      </c>
      <c r="F11" s="155"/>
      <c r="G11" s="152"/>
    </row>
    <row r="12" spans="1:7" x14ac:dyDescent="0.2">
      <c r="A12" s="154"/>
      <c r="B12" s="123" t="s">
        <v>212</v>
      </c>
      <c r="C12" s="116" t="s">
        <v>74</v>
      </c>
      <c r="D12" s="116" t="s">
        <v>73</v>
      </c>
      <c r="E12" s="297">
        <v>35</v>
      </c>
      <c r="F12" s="155"/>
      <c r="G12" s="152"/>
    </row>
    <row r="13" spans="1:7" x14ac:dyDescent="0.2">
      <c r="A13" s="154"/>
      <c r="B13" s="123" t="s">
        <v>213</v>
      </c>
      <c r="C13" s="116" t="s">
        <v>104</v>
      </c>
      <c r="D13" s="116" t="s">
        <v>48</v>
      </c>
      <c r="E13" s="297">
        <v>77</v>
      </c>
      <c r="F13" s="155"/>
      <c r="G13" s="152"/>
    </row>
    <row r="14" spans="1:7" x14ac:dyDescent="0.2">
      <c r="A14" s="154"/>
      <c r="B14" s="123" t="s">
        <v>214</v>
      </c>
      <c r="C14" s="116" t="s">
        <v>66</v>
      </c>
      <c r="D14" s="116" t="s">
        <v>48</v>
      </c>
      <c r="E14" s="297">
        <v>78</v>
      </c>
      <c r="F14" s="155"/>
      <c r="G14" s="152"/>
    </row>
    <row r="15" spans="1:7" x14ac:dyDescent="0.2">
      <c r="A15" s="154"/>
      <c r="B15" s="123" t="s">
        <v>215</v>
      </c>
      <c r="C15" s="116" t="s">
        <v>81</v>
      </c>
      <c r="D15" s="116" t="s">
        <v>75</v>
      </c>
      <c r="E15" s="297">
        <v>45</v>
      </c>
      <c r="F15" s="155"/>
      <c r="G15" s="152"/>
    </row>
    <row r="16" spans="1:7" x14ac:dyDescent="0.2">
      <c r="A16" s="154"/>
      <c r="B16" s="123" t="s">
        <v>216</v>
      </c>
      <c r="C16" s="116" t="s">
        <v>66</v>
      </c>
      <c r="D16" s="116" t="s">
        <v>76</v>
      </c>
      <c r="E16" s="297">
        <v>43</v>
      </c>
      <c r="F16" s="155"/>
      <c r="G16" s="152"/>
    </row>
    <row r="17" spans="1:7" x14ac:dyDescent="0.2">
      <c r="A17" s="154"/>
      <c r="B17" s="123" t="s">
        <v>217</v>
      </c>
      <c r="C17" s="116" t="s">
        <v>66</v>
      </c>
      <c r="D17" s="116" t="s">
        <v>49</v>
      </c>
      <c r="E17" s="297">
        <v>179</v>
      </c>
      <c r="F17" s="155"/>
      <c r="G17" s="152"/>
    </row>
    <row r="18" spans="1:7" x14ac:dyDescent="0.2">
      <c r="A18" s="154"/>
      <c r="B18" s="123" t="s">
        <v>218</v>
      </c>
      <c r="C18" s="116" t="s">
        <v>81</v>
      </c>
      <c r="D18" s="116" t="s">
        <v>107</v>
      </c>
      <c r="E18" s="297">
        <v>24</v>
      </c>
      <c r="F18" s="155"/>
      <c r="G18" s="152"/>
    </row>
    <row r="19" spans="1:7" x14ac:dyDescent="0.2">
      <c r="A19" s="154"/>
      <c r="B19" s="123" t="s">
        <v>219</v>
      </c>
      <c r="C19" s="116" t="s">
        <v>81</v>
      </c>
      <c r="D19" s="116" t="s">
        <v>78</v>
      </c>
      <c r="E19" s="297">
        <v>36</v>
      </c>
      <c r="F19" s="155"/>
      <c r="G19" s="152"/>
    </row>
    <row r="20" spans="1:7" x14ac:dyDescent="0.2">
      <c r="A20" s="154"/>
      <c r="B20" s="123" t="s">
        <v>220</v>
      </c>
      <c r="C20" s="116" t="s">
        <v>66</v>
      </c>
      <c r="D20" s="116" t="s">
        <v>79</v>
      </c>
      <c r="E20" s="297">
        <v>18</v>
      </c>
      <c r="F20" s="155"/>
      <c r="G20" s="152"/>
    </row>
    <row r="21" spans="1:7" x14ac:dyDescent="0.2">
      <c r="A21" s="154"/>
      <c r="B21" s="123" t="s">
        <v>221</v>
      </c>
      <c r="C21" s="116" t="s">
        <v>66</v>
      </c>
      <c r="D21" s="116" t="s">
        <v>80</v>
      </c>
      <c r="E21" s="297">
        <v>15</v>
      </c>
      <c r="F21" s="155"/>
      <c r="G21" s="152"/>
    </row>
    <row r="22" spans="1:7" x14ac:dyDescent="0.2">
      <c r="A22" s="154"/>
      <c r="B22" s="123" t="s">
        <v>276</v>
      </c>
      <c r="C22" s="116" t="s">
        <v>67</v>
      </c>
      <c r="D22" s="116" t="s">
        <v>50</v>
      </c>
      <c r="E22" s="297">
        <v>68</v>
      </c>
      <c r="F22" s="155" t="s">
        <v>106</v>
      </c>
      <c r="G22" s="152"/>
    </row>
    <row r="23" spans="1:7" x14ac:dyDescent="0.2">
      <c r="A23" s="154"/>
      <c r="B23" s="123" t="s">
        <v>222</v>
      </c>
      <c r="C23" s="116" t="s">
        <v>66</v>
      </c>
      <c r="D23" s="116" t="s">
        <v>50</v>
      </c>
      <c r="E23" s="297">
        <v>32</v>
      </c>
      <c r="F23" s="155"/>
      <c r="G23" s="152"/>
    </row>
    <row r="24" spans="1:7" x14ac:dyDescent="0.2">
      <c r="A24" s="154"/>
      <c r="B24" s="123" t="s">
        <v>223</v>
      </c>
      <c r="C24" s="117" t="s">
        <v>149</v>
      </c>
      <c r="D24" s="116" t="s">
        <v>82</v>
      </c>
      <c r="E24" s="297">
        <v>20</v>
      </c>
      <c r="F24" s="553"/>
      <c r="G24" s="152"/>
    </row>
    <row r="25" spans="1:7" x14ac:dyDescent="0.2">
      <c r="A25" s="154"/>
      <c r="B25" s="123" t="s">
        <v>224</v>
      </c>
      <c r="C25" s="116" t="s">
        <v>66</v>
      </c>
      <c r="D25" s="116" t="s">
        <v>83</v>
      </c>
      <c r="E25" s="297">
        <v>29</v>
      </c>
      <c r="F25" s="155"/>
      <c r="G25" s="152"/>
    </row>
    <row r="26" spans="1:7" x14ac:dyDescent="0.2">
      <c r="A26" s="154"/>
      <c r="B26" s="123" t="s">
        <v>225</v>
      </c>
      <c r="C26" s="116" t="s">
        <v>66</v>
      </c>
      <c r="D26" s="116" t="s">
        <v>126</v>
      </c>
      <c r="E26" s="297">
        <v>30</v>
      </c>
      <c r="F26" s="155"/>
      <c r="G26" s="152"/>
    </row>
    <row r="27" spans="1:7" x14ac:dyDescent="0.2">
      <c r="A27" s="154"/>
      <c r="B27" s="123" t="s">
        <v>226</v>
      </c>
      <c r="C27" s="116" t="s">
        <v>66</v>
      </c>
      <c r="D27" s="116" t="s">
        <v>87</v>
      </c>
      <c r="E27" s="297">
        <v>18</v>
      </c>
      <c r="F27" s="155" t="s">
        <v>106</v>
      </c>
      <c r="G27" s="152"/>
    </row>
    <row r="28" spans="1:7" x14ac:dyDescent="0.2">
      <c r="A28" s="154"/>
      <c r="B28" s="123" t="s">
        <v>227</v>
      </c>
      <c r="C28" s="116" t="s">
        <v>66</v>
      </c>
      <c r="D28" s="116" t="s">
        <v>84</v>
      </c>
      <c r="E28" s="297">
        <v>22</v>
      </c>
      <c r="F28" s="155"/>
      <c r="G28" s="152"/>
    </row>
    <row r="29" spans="1:7" x14ac:dyDescent="0.2">
      <c r="A29" s="154"/>
      <c r="B29" s="123" t="s">
        <v>578</v>
      </c>
      <c r="C29" s="116" t="s">
        <v>66</v>
      </c>
      <c r="D29" s="116" t="s">
        <v>579</v>
      </c>
      <c r="E29" s="297">
        <v>25</v>
      </c>
      <c r="F29" s="155"/>
      <c r="G29" s="152"/>
    </row>
    <row r="30" spans="1:7" x14ac:dyDescent="0.2">
      <c r="A30" s="154"/>
      <c r="B30" s="123" t="s">
        <v>228</v>
      </c>
      <c r="C30" s="116" t="s">
        <v>129</v>
      </c>
      <c r="D30" s="116" t="s">
        <v>85</v>
      </c>
      <c r="E30" s="297">
        <v>30</v>
      </c>
      <c r="F30" s="155"/>
      <c r="G30" s="152"/>
    </row>
    <row r="31" spans="1:7" x14ac:dyDescent="0.2">
      <c r="A31" s="154"/>
      <c r="B31" s="123" t="s">
        <v>229</v>
      </c>
      <c r="C31" s="116" t="s">
        <v>88</v>
      </c>
      <c r="D31" s="116" t="s">
        <v>86</v>
      </c>
      <c r="E31" s="297">
        <v>15</v>
      </c>
      <c r="F31" s="155"/>
      <c r="G31" s="152"/>
    </row>
    <row r="32" spans="1:7" x14ac:dyDescent="0.2">
      <c r="A32" s="154"/>
      <c r="B32" s="123" t="s">
        <v>230</v>
      </c>
      <c r="C32" s="116" t="s">
        <v>66</v>
      </c>
      <c r="D32" s="116" t="s">
        <v>51</v>
      </c>
      <c r="E32" s="297">
        <v>167</v>
      </c>
      <c r="F32" s="155"/>
      <c r="G32" s="152"/>
    </row>
    <row r="33" spans="1:7" x14ac:dyDescent="0.2">
      <c r="A33" s="154"/>
      <c r="B33" s="123" t="s">
        <v>231</v>
      </c>
      <c r="C33" s="116" t="s">
        <v>66</v>
      </c>
      <c r="D33" s="116" t="s">
        <v>53</v>
      </c>
      <c r="E33" s="297">
        <v>48</v>
      </c>
      <c r="F33" s="155"/>
      <c r="G33" s="152"/>
    </row>
    <row r="34" spans="1:7" x14ac:dyDescent="0.2">
      <c r="A34" s="154"/>
      <c r="B34" s="123" t="s">
        <v>232</v>
      </c>
      <c r="C34" s="116" t="s">
        <v>66</v>
      </c>
      <c r="D34" s="116" t="s">
        <v>89</v>
      </c>
      <c r="E34" s="297">
        <v>36</v>
      </c>
      <c r="F34" s="155"/>
      <c r="G34" s="152"/>
    </row>
    <row r="35" spans="1:7" x14ac:dyDescent="0.2">
      <c r="A35" s="154"/>
      <c r="B35" s="123" t="s">
        <v>233</v>
      </c>
      <c r="C35" s="116" t="s">
        <v>99</v>
      </c>
      <c r="D35" s="116" t="s">
        <v>90</v>
      </c>
      <c r="E35" s="297">
        <v>8</v>
      </c>
      <c r="F35" s="155"/>
      <c r="G35" s="152"/>
    </row>
    <row r="36" spans="1:7" x14ac:dyDescent="0.2">
      <c r="A36" s="154"/>
      <c r="B36" s="123" t="s">
        <v>234</v>
      </c>
      <c r="C36" s="116" t="s">
        <v>100</v>
      </c>
      <c r="D36" s="116" t="s">
        <v>91</v>
      </c>
      <c r="E36" s="297">
        <v>40</v>
      </c>
      <c r="F36" s="155"/>
      <c r="G36" s="152"/>
    </row>
    <row r="37" spans="1:7" x14ac:dyDescent="0.2">
      <c r="A37" s="154"/>
      <c r="B37" s="123" t="s">
        <v>235</v>
      </c>
      <c r="C37" s="116" t="s">
        <v>66</v>
      </c>
      <c r="D37" s="116" t="s">
        <v>127</v>
      </c>
      <c r="E37" s="297">
        <v>11</v>
      </c>
      <c r="F37" s="155"/>
      <c r="G37" s="152"/>
    </row>
    <row r="38" spans="1:7" x14ac:dyDescent="0.2">
      <c r="A38" s="154"/>
      <c r="B38" s="123" t="s">
        <v>236</v>
      </c>
      <c r="C38" s="116" t="s">
        <v>101</v>
      </c>
      <c r="D38" s="116" t="s">
        <v>92</v>
      </c>
      <c r="E38" s="297">
        <v>14</v>
      </c>
      <c r="F38" s="155"/>
      <c r="G38" s="152"/>
    </row>
    <row r="39" spans="1:7" x14ac:dyDescent="0.2">
      <c r="A39" s="154"/>
      <c r="B39" s="123" t="s">
        <v>237</v>
      </c>
      <c r="C39" s="116" t="s">
        <v>66</v>
      </c>
      <c r="D39" s="116" t="s">
        <v>92</v>
      </c>
      <c r="E39" s="297">
        <v>50</v>
      </c>
      <c r="F39" s="155" t="s">
        <v>106</v>
      </c>
      <c r="G39" s="152"/>
    </row>
    <row r="40" spans="1:7" x14ac:dyDescent="0.2">
      <c r="A40" s="154"/>
      <c r="B40" s="123" t="s">
        <v>238</v>
      </c>
      <c r="C40" s="116" t="s">
        <v>102</v>
      </c>
      <c r="D40" s="116" t="s">
        <v>93</v>
      </c>
      <c r="E40" s="297">
        <v>20</v>
      </c>
      <c r="F40" s="155"/>
      <c r="G40" s="152"/>
    </row>
    <row r="41" spans="1:7" x14ac:dyDescent="0.2">
      <c r="A41" s="154"/>
      <c r="B41" s="123" t="s">
        <v>239</v>
      </c>
      <c r="C41" s="116" t="s">
        <v>66</v>
      </c>
      <c r="D41" s="116" t="s">
        <v>94</v>
      </c>
      <c r="E41" s="297">
        <v>34</v>
      </c>
      <c r="F41" s="155"/>
      <c r="G41" s="152"/>
    </row>
    <row r="42" spans="1:7" x14ac:dyDescent="0.2">
      <c r="A42" s="154"/>
      <c r="B42" s="123" t="s">
        <v>240</v>
      </c>
      <c r="C42" s="116" t="s">
        <v>66</v>
      </c>
      <c r="D42" s="116" t="s">
        <v>95</v>
      </c>
      <c r="E42" s="297">
        <v>37</v>
      </c>
      <c r="F42" s="155"/>
      <c r="G42" s="152"/>
    </row>
    <row r="43" spans="1:7" x14ac:dyDescent="0.2">
      <c r="A43" s="154"/>
      <c r="B43" s="123" t="s">
        <v>241</v>
      </c>
      <c r="C43" s="116" t="s">
        <v>66</v>
      </c>
      <c r="D43" s="116" t="s">
        <v>96</v>
      </c>
      <c r="E43" s="297">
        <v>30</v>
      </c>
      <c r="F43" s="155"/>
      <c r="G43" s="152"/>
    </row>
    <row r="44" spans="1:7" x14ac:dyDescent="0.2">
      <c r="A44" s="154"/>
      <c r="B44" s="123" t="s">
        <v>242</v>
      </c>
      <c r="C44" s="116" t="s">
        <v>81</v>
      </c>
      <c r="D44" s="116" t="s">
        <v>97</v>
      </c>
      <c r="E44" s="297">
        <v>34</v>
      </c>
      <c r="F44" s="155" t="s">
        <v>106</v>
      </c>
      <c r="G44" s="152"/>
    </row>
    <row r="45" spans="1:7" x14ac:dyDescent="0.2">
      <c r="A45" s="154"/>
      <c r="B45" s="123" t="s">
        <v>243</v>
      </c>
      <c r="C45" s="116" t="s">
        <v>103</v>
      </c>
      <c r="D45" s="116" t="s">
        <v>98</v>
      </c>
      <c r="E45" s="297">
        <v>22</v>
      </c>
      <c r="F45" s="155"/>
      <c r="G45" s="152"/>
    </row>
    <row r="46" spans="1:7" x14ac:dyDescent="0.2">
      <c r="A46" s="154"/>
      <c r="B46" s="123" t="s">
        <v>244</v>
      </c>
      <c r="C46" s="116" t="s">
        <v>68</v>
      </c>
      <c r="D46" s="116" t="s">
        <v>52</v>
      </c>
      <c r="E46" s="297">
        <v>15</v>
      </c>
      <c r="F46" s="155"/>
      <c r="G46" s="152"/>
    </row>
    <row r="47" spans="1:7" x14ac:dyDescent="0.2">
      <c r="A47" s="154"/>
      <c r="B47" s="123" t="s">
        <v>245</v>
      </c>
      <c r="C47" s="116" t="s">
        <v>66</v>
      </c>
      <c r="D47" s="116" t="s">
        <v>52</v>
      </c>
      <c r="E47" s="297">
        <v>66</v>
      </c>
      <c r="F47" s="155"/>
      <c r="G47" s="152"/>
    </row>
    <row r="48" spans="1:7" x14ac:dyDescent="0.2">
      <c r="A48" s="154"/>
      <c r="B48" s="123" t="s">
        <v>246</v>
      </c>
      <c r="C48" s="116" t="s">
        <v>77</v>
      </c>
      <c r="D48" s="116" t="s">
        <v>52</v>
      </c>
      <c r="E48" s="297">
        <v>60</v>
      </c>
      <c r="F48" s="155"/>
      <c r="G48" s="152"/>
    </row>
    <row r="49" spans="1:7" x14ac:dyDescent="0.2">
      <c r="A49" s="154"/>
      <c r="B49" s="123" t="s">
        <v>247</v>
      </c>
      <c r="C49" s="189" t="s">
        <v>813</v>
      </c>
      <c r="D49" s="116" t="s">
        <v>52</v>
      </c>
      <c r="E49" s="297">
        <v>163</v>
      </c>
      <c r="F49" s="155"/>
      <c r="G49" s="152"/>
    </row>
    <row r="50" spans="1:7" ht="13.5" thickBot="1" x14ac:dyDescent="0.25">
      <c r="A50" s="154"/>
      <c r="B50" s="124" t="s">
        <v>248</v>
      </c>
      <c r="C50" s="118" t="s">
        <v>66</v>
      </c>
      <c r="D50" s="118" t="s">
        <v>128</v>
      </c>
      <c r="E50" s="417">
        <v>14</v>
      </c>
      <c r="F50" s="155"/>
      <c r="G50" s="152"/>
    </row>
    <row r="51" spans="1:7" ht="25.5" customHeight="1" thickBot="1" x14ac:dyDescent="0.25">
      <c r="A51" s="154"/>
      <c r="B51" s="401" t="s">
        <v>253</v>
      </c>
      <c r="C51" s="664" t="s">
        <v>606</v>
      </c>
      <c r="D51" s="665"/>
      <c r="E51" s="661" t="str">
        <f>CONCATENATE(YEAR-2," Average Worship Attendance")</f>
        <v>2021 Average Worship Attendance</v>
      </c>
      <c r="F51" s="662"/>
      <c r="G51" s="152"/>
    </row>
    <row r="52" spans="1:7" x14ac:dyDescent="0.2">
      <c r="A52" s="154"/>
      <c r="B52" s="121" t="s">
        <v>249</v>
      </c>
      <c r="C52" s="127"/>
      <c r="D52" s="128"/>
      <c r="E52" s="129"/>
      <c r="F52" s="156" t="s">
        <v>258</v>
      </c>
      <c r="G52" s="152"/>
    </row>
    <row r="53" spans="1:7" x14ac:dyDescent="0.2">
      <c r="A53" s="154"/>
      <c r="B53" s="123" t="s">
        <v>250</v>
      </c>
      <c r="C53" s="86"/>
      <c r="D53" s="86"/>
      <c r="E53" s="66"/>
      <c r="F53" s="155" t="s">
        <v>258</v>
      </c>
      <c r="G53" s="152"/>
    </row>
    <row r="54" spans="1:7" x14ac:dyDescent="0.2">
      <c r="A54" s="154"/>
      <c r="B54" s="123" t="s">
        <v>251</v>
      </c>
      <c r="C54" s="86"/>
      <c r="D54" s="86"/>
      <c r="E54" s="66"/>
      <c r="F54" s="155" t="s">
        <v>258</v>
      </c>
      <c r="G54" s="152"/>
    </row>
    <row r="55" spans="1:7" ht="13.5" thickBot="1" x14ac:dyDescent="0.25">
      <c r="A55" s="154"/>
      <c r="B55" s="125" t="s">
        <v>252</v>
      </c>
      <c r="C55" s="67"/>
      <c r="D55" s="67"/>
      <c r="E55" s="68"/>
      <c r="F55" s="157" t="s">
        <v>258</v>
      </c>
      <c r="G55" s="152"/>
    </row>
    <row r="56" spans="1:7" ht="15.75" x14ac:dyDescent="0.25">
      <c r="A56" s="154"/>
      <c r="B56" s="293" t="str">
        <f>DRAFT</f>
        <v xml:space="preserve"> </v>
      </c>
      <c r="C56" s="657" t="str">
        <f>CONCATENATE("* = Estimated Attendance -- no report received in ", YEAR-1)</f>
        <v>* = Estimated Attendance -- no report received in 2022</v>
      </c>
      <c r="D56" s="657"/>
      <c r="E56" s="111" t="s">
        <v>110</v>
      </c>
      <c r="F56" s="635">
        <f>YEAR</f>
        <v>2023</v>
      </c>
      <c r="G56" s="152"/>
    </row>
    <row r="57" spans="1:7" x14ac:dyDescent="0.2">
      <c r="A57" s="154"/>
      <c r="B57" s="293" t="str">
        <f>DRAFT2</f>
        <v xml:space="preserve"> </v>
      </c>
      <c r="C57" s="126" t="s">
        <v>259</v>
      </c>
      <c r="E57" s="111" t="s">
        <v>381</v>
      </c>
      <c r="F57" s="7" t="str">
        <f>VERSION</f>
        <v>11-30</v>
      </c>
      <c r="G57" s="152"/>
    </row>
    <row r="58" spans="1:7" x14ac:dyDescent="0.2">
      <c r="A58" s="154"/>
      <c r="B58" s="152"/>
      <c r="C58" s="152"/>
      <c r="D58" s="152"/>
      <c r="E58" s="152"/>
      <c r="F58" s="152"/>
      <c r="G58" s="152"/>
    </row>
    <row r="60" spans="1:7" x14ac:dyDescent="0.2">
      <c r="F60" s="103" t="s">
        <v>256</v>
      </c>
    </row>
  </sheetData>
  <sheetProtection sheet="1" objects="1" scenarios="1" selectLockedCells="1"/>
  <mergeCells count="7">
    <mergeCell ref="E1:F1"/>
    <mergeCell ref="C56:D56"/>
    <mergeCell ref="B2:F2"/>
    <mergeCell ref="E4:F4"/>
    <mergeCell ref="B3:F3"/>
    <mergeCell ref="E51:F51"/>
    <mergeCell ref="C51:D51"/>
  </mergeCells>
  <phoneticPr fontId="0" type="noConversion"/>
  <dataValidations xWindow="70" yWindow="845" count="1">
    <dataValidation type="whole" operator="greaterThan" allowBlank="1" showInputMessage="1" showErrorMessage="1" error="Enter average worship attendance" sqref="E52:E55" xr:uid="{00000000-0002-0000-0200-000000000000}">
      <formula1>0</formula1>
    </dataValidation>
  </dataValidations>
  <printOptions horizontalCentered="1"/>
  <pageMargins left="0.75" right="0.75" top="1" bottom="1" header="0.5" footer="0.5"/>
  <pageSetup scale="84" orientation="portrait" r:id="rId1"/>
  <headerFooter>
    <oddFooter>&amp;L&amp;F &amp;A&amp;R&amp;P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filterMode="1"/>
  <dimension ref="A1:AC184"/>
  <sheetViews>
    <sheetView showGridLines="0" showRowColHeaders="0" tabSelected="1" topLeftCell="D1" workbookViewId="0">
      <pane ySplit="6" topLeftCell="A7" activePane="bottomLeft" state="frozen"/>
      <selection activeCell="B2" sqref="B2"/>
      <selection pane="bottomLeft" activeCell="I8" sqref="I8:O8"/>
    </sheetView>
  </sheetViews>
  <sheetFormatPr defaultRowHeight="11.25" customHeight="1" x14ac:dyDescent="0.2"/>
  <cols>
    <col min="1" max="2" width="3" hidden="1" customWidth="1"/>
    <col min="3" max="3" width="6.85546875" hidden="1" customWidth="1"/>
    <col min="4" max="4" width="3" style="7" customWidth="1"/>
    <col min="5" max="5" width="1.7109375" customWidth="1"/>
    <col min="6" max="6" width="2.85546875" customWidth="1"/>
    <col min="7" max="7" width="3.140625" customWidth="1"/>
    <col min="8" max="8" width="21.7109375" customWidth="1"/>
    <col min="9" max="9" width="6.42578125" customWidth="1"/>
    <col min="10" max="10" width="2.28515625" customWidth="1"/>
    <col min="11" max="11" width="6.85546875" customWidth="1"/>
    <col min="12" max="12" width="11.28515625" customWidth="1"/>
    <col min="13" max="13" width="7.7109375" customWidth="1"/>
    <col min="14" max="14" width="9.85546875" customWidth="1"/>
    <col min="15" max="15" width="13.7109375" customWidth="1"/>
    <col min="16" max="16" width="12.85546875" customWidth="1"/>
    <col min="17" max="18" width="14.28515625" customWidth="1"/>
    <col min="19" max="19" width="5.7109375" customWidth="1"/>
    <col min="20" max="20" width="2.140625" customWidth="1"/>
    <col min="21" max="21" width="2.42578125" hidden="1" customWidth="1"/>
    <col min="22" max="22" width="5.7109375" style="7" hidden="1" customWidth="1"/>
    <col min="23" max="23" width="24.28515625" hidden="1" customWidth="1"/>
    <col min="24" max="24" width="5.140625" hidden="1" customWidth="1"/>
    <col min="25" max="25" width="4.42578125" hidden="1" customWidth="1"/>
    <col min="26" max="26" width="7.7109375" hidden="1" customWidth="1"/>
    <col min="27" max="27" width="23.5703125" hidden="1" customWidth="1"/>
    <col min="28" max="28" width="35.5703125" hidden="1" customWidth="1"/>
  </cols>
  <sheetData>
    <row r="1" spans="1:28" ht="12.75" hidden="1" x14ac:dyDescent="0.2">
      <c r="A1" s="359"/>
      <c r="B1" s="359"/>
      <c r="C1" s="359"/>
      <c r="U1" s="359"/>
      <c r="V1" s="376"/>
      <c r="W1" s="359"/>
      <c r="X1" s="359"/>
      <c r="Y1" s="359"/>
      <c r="Z1" s="359"/>
      <c r="AA1" s="359"/>
      <c r="AB1" s="359"/>
    </row>
    <row r="2" spans="1:28" ht="11.25" customHeight="1" thickBot="1" x14ac:dyDescent="0.25">
      <c r="A2" s="359"/>
      <c r="B2" s="359"/>
      <c r="C2" s="359"/>
      <c r="D2" s="444"/>
      <c r="E2" s="152"/>
      <c r="F2" s="152"/>
      <c r="G2" s="152"/>
      <c r="H2" s="152"/>
      <c r="I2" s="152"/>
      <c r="J2" s="152"/>
      <c r="K2" s="152"/>
      <c r="L2" s="152"/>
      <c r="M2" s="152"/>
      <c r="N2" s="152"/>
      <c r="O2" s="152"/>
      <c r="P2" s="152"/>
      <c r="Q2" s="152"/>
      <c r="R2" s="152"/>
      <c r="S2" s="152"/>
      <c r="T2" s="152"/>
      <c r="U2" s="359"/>
      <c r="V2" s="376"/>
      <c r="W2" s="359"/>
      <c r="X2" s="359"/>
      <c r="Y2" s="359"/>
      <c r="Z2" s="359"/>
      <c r="AA2" s="359"/>
      <c r="AB2" s="359"/>
    </row>
    <row r="3" spans="1:28" ht="16.5" thickBot="1" x14ac:dyDescent="0.3">
      <c r="A3" s="669" t="s">
        <v>320</v>
      </c>
      <c r="B3" s="669"/>
      <c r="D3" s="670" t="s">
        <v>330</v>
      </c>
      <c r="E3" s="671" t="s">
        <v>295</v>
      </c>
      <c r="F3" s="672"/>
      <c r="G3" s="672"/>
      <c r="H3" s="673"/>
      <c r="I3" s="154"/>
      <c r="J3" s="671">
        <f>YEAR</f>
        <v>2023</v>
      </c>
      <c r="K3" s="672"/>
      <c r="L3" s="195"/>
      <c r="M3" s="194" t="s">
        <v>318</v>
      </c>
      <c r="N3" s="195" t="str">
        <f>IF(ISBLANK(PASTOR),"(enter in section 1 below)",PASTOR)</f>
        <v>(enter in section 1 below)</v>
      </c>
      <c r="O3" s="180"/>
      <c r="P3" s="181"/>
      <c r="Q3" s="181"/>
      <c r="R3" s="181"/>
      <c r="S3" s="182"/>
      <c r="T3" s="152"/>
      <c r="X3" s="103"/>
    </row>
    <row r="4" spans="1:28" ht="15.75" x14ac:dyDescent="0.25">
      <c r="A4" s="669"/>
      <c r="B4" s="669"/>
      <c r="D4" s="670"/>
      <c r="E4" s="677">
        <f>COUNTIF(B:B,"=1")</f>
        <v>21</v>
      </c>
      <c r="F4" s="678"/>
      <c r="G4" s="681" t="s">
        <v>369</v>
      </c>
      <c r="H4" s="682"/>
      <c r="I4" s="203"/>
      <c r="J4" s="216" t="str">
        <f>'Compensation Guidelines'!N16</f>
        <v xml:space="preserve"> </v>
      </c>
      <c r="L4" s="183"/>
      <c r="M4" s="1" t="s">
        <v>302</v>
      </c>
      <c r="N4" s="169" t="e">
        <f>IF(I17&gt;1,CONCATENATE(I17," ",K17),VLOOKUP(I18,CHURCHES,2,FALSE))</f>
        <v>#N/A</v>
      </c>
      <c r="O4" s="169"/>
      <c r="P4" s="184"/>
      <c r="Q4" s="184"/>
      <c r="R4" s="183"/>
      <c r="S4" s="286" t="e">
        <f>IF(I17&gt;1," ",CONCATENATE(VLOOKUP(I18,CHURCHES,3,FALSE),"  "))</f>
        <v>#N/A</v>
      </c>
      <c r="T4" s="152"/>
      <c r="AA4" s="624" t="s">
        <v>839</v>
      </c>
    </row>
    <row r="5" spans="1:28" ht="16.5" thickBot="1" x14ac:dyDescent="0.3">
      <c r="A5" s="669"/>
      <c r="B5" s="669"/>
      <c r="D5" s="670"/>
      <c r="E5" s="679">
        <f>COUNTIF(B:B,"&gt;1")</f>
        <v>0</v>
      </c>
      <c r="F5" s="680"/>
      <c r="G5" s="683" t="s">
        <v>347</v>
      </c>
      <c r="H5" s="684"/>
      <c r="I5" s="203"/>
      <c r="J5" s="685" t="str">
        <f>DRAFT2</f>
        <v xml:space="preserve"> </v>
      </c>
      <c r="K5" s="686"/>
      <c r="L5" s="686"/>
      <c r="M5" s="204" t="s">
        <v>303</v>
      </c>
      <c r="N5" s="236" t="str">
        <f>IF(ISBLANK(TITLE),"(enter in section 3 below)",TITLE)</f>
        <v>(enter in section 3 below)</v>
      </c>
      <c r="O5" s="185"/>
      <c r="P5" s="185"/>
      <c r="Q5" s="185"/>
      <c r="R5" s="185"/>
      <c r="S5" s="186"/>
      <c r="T5" s="152"/>
      <c r="AA5" s="625" t="str">
        <f>PRESBYTERY</f>
        <v>Presbytery of North Central Iowa</v>
      </c>
    </row>
    <row r="6" spans="1:28" ht="16.5" thickBot="1" x14ac:dyDescent="0.3">
      <c r="A6" s="669"/>
      <c r="B6" s="669"/>
      <c r="D6" s="670"/>
      <c r="E6" s="171"/>
      <c r="F6" s="205" t="s">
        <v>254</v>
      </c>
      <c r="G6" s="179"/>
      <c r="H6" s="179"/>
      <c r="I6" s="205" t="s">
        <v>174</v>
      </c>
      <c r="J6" s="178"/>
      <c r="K6" s="179"/>
      <c r="L6" s="179"/>
      <c r="M6" s="205" t="s">
        <v>255</v>
      </c>
      <c r="N6" s="171"/>
      <c r="O6" s="171"/>
      <c r="P6" s="171"/>
      <c r="Q6" s="245" t="str">
        <f>PRESBYTERY</f>
        <v>Presbytery of North Central Iowa</v>
      </c>
      <c r="R6" s="246" t="s">
        <v>384</v>
      </c>
      <c r="S6" s="245" t="str">
        <f>VERSION</f>
        <v>11-30</v>
      </c>
      <c r="T6" s="152"/>
      <c r="V6" s="741" t="s">
        <v>426</v>
      </c>
      <c r="W6" s="742"/>
      <c r="X6" s="742"/>
      <c r="Y6" s="743"/>
      <c r="AA6" s="626" t="s">
        <v>348</v>
      </c>
    </row>
    <row r="7" spans="1:28" ht="16.5" thickBot="1" x14ac:dyDescent="0.3">
      <c r="D7" s="444"/>
      <c r="E7" s="172" t="s">
        <v>341</v>
      </c>
      <c r="F7" s="154"/>
      <c r="G7" s="154"/>
      <c r="H7" s="154"/>
      <c r="I7" s="154"/>
      <c r="J7" s="154"/>
      <c r="K7" s="154"/>
      <c r="L7" s="152"/>
      <c r="M7" s="152"/>
      <c r="N7" s="152"/>
      <c r="O7" s="152"/>
      <c r="P7" s="152"/>
      <c r="Q7" s="152"/>
      <c r="R7" s="152"/>
      <c r="S7" s="152"/>
      <c r="T7" s="152"/>
      <c r="V7" s="757" t="s">
        <v>621</v>
      </c>
      <c r="W7" s="758"/>
      <c r="X7" s="758"/>
      <c r="Y7" s="759"/>
      <c r="AA7" s="623" t="str">
        <f>Church!B5</f>
        <v>Ackley - East Friesland</v>
      </c>
    </row>
    <row r="8" spans="1:28" ht="11.25" customHeight="1" x14ac:dyDescent="0.2">
      <c r="A8">
        <v>2</v>
      </c>
      <c r="B8" s="142">
        <f>IF(ISBLANK(I8),1,0)</f>
        <v>1</v>
      </c>
      <c r="D8" s="176" t="s">
        <v>657</v>
      </c>
      <c r="E8" s="109"/>
      <c r="F8" s="98" t="s">
        <v>280</v>
      </c>
      <c r="G8" s="100"/>
      <c r="H8" s="100"/>
      <c r="I8" s="687"/>
      <c r="J8" s="687"/>
      <c r="K8" s="687"/>
      <c r="L8" s="687"/>
      <c r="M8" s="687"/>
      <c r="N8" s="687"/>
      <c r="O8" s="687"/>
      <c r="P8" s="100"/>
      <c r="Q8" s="100"/>
      <c r="R8" s="100"/>
      <c r="S8" s="101"/>
      <c r="T8" s="152"/>
      <c r="U8" s="374" t="s">
        <v>567</v>
      </c>
      <c r="V8" s="307" t="s">
        <v>427</v>
      </c>
      <c r="W8" s="207" t="s">
        <v>428</v>
      </c>
      <c r="X8" s="418"/>
      <c r="Y8" s="342"/>
      <c r="AA8" s="620" t="str">
        <f>Church!B6</f>
        <v>Ackley - First</v>
      </c>
    </row>
    <row r="9" spans="1:28" ht="12.75" hidden="1" x14ac:dyDescent="0.2">
      <c r="A9" s="359"/>
      <c r="B9" s="359"/>
      <c r="C9" s="376"/>
      <c r="D9" s="378"/>
      <c r="E9" s="360"/>
      <c r="F9" s="355"/>
      <c r="G9" s="359"/>
      <c r="H9" s="359"/>
      <c r="I9" s="479"/>
      <c r="J9" s="479" t="s">
        <v>616</v>
      </c>
      <c r="K9" s="479"/>
      <c r="L9" s="479"/>
      <c r="M9" s="479"/>
      <c r="N9" s="479"/>
      <c r="O9" s="479"/>
      <c r="P9" s="359"/>
      <c r="Q9" s="359"/>
      <c r="R9" s="359"/>
      <c r="S9" s="361"/>
      <c r="T9" s="359"/>
      <c r="U9" s="376" t="s">
        <v>607</v>
      </c>
      <c r="V9" s="307" t="s">
        <v>429</v>
      </c>
      <c r="W9" s="207" t="s">
        <v>430</v>
      </c>
      <c r="X9" s="418"/>
      <c r="Y9" s="342"/>
      <c r="AA9" s="620" t="str">
        <f>Church!B7</f>
        <v>Albion - First</v>
      </c>
    </row>
    <row r="10" spans="1:28" ht="12.75" hidden="1" x14ac:dyDescent="0.2">
      <c r="A10" s="359"/>
      <c r="B10" s="359"/>
      <c r="C10" s="376"/>
      <c r="D10" s="378"/>
      <c r="E10" s="360"/>
      <c r="F10" s="355"/>
      <c r="G10" s="359"/>
      <c r="H10" s="359"/>
      <c r="I10" s="402" t="s">
        <v>450</v>
      </c>
      <c r="J10" s="479"/>
      <c r="K10" s="479"/>
      <c r="L10" s="479"/>
      <c r="M10" s="405" t="s">
        <v>199</v>
      </c>
      <c r="N10" s="479"/>
      <c r="O10" s="479"/>
      <c r="P10" s="359"/>
      <c r="Q10" s="359"/>
      <c r="R10" s="359"/>
      <c r="S10" s="361"/>
      <c r="T10" s="359"/>
      <c r="U10" s="376" t="s">
        <v>607</v>
      </c>
      <c r="V10" s="363" t="s">
        <v>429</v>
      </c>
      <c r="W10" s="207" t="s">
        <v>619</v>
      </c>
      <c r="X10" s="418"/>
      <c r="Y10" s="342"/>
      <c r="AA10" s="620" t="str">
        <f>Church!B8</f>
        <v>Algona - First</v>
      </c>
    </row>
    <row r="11" spans="1:28" ht="12.75" hidden="1" x14ac:dyDescent="0.2">
      <c r="A11" s="359"/>
      <c r="B11" s="359"/>
      <c r="C11" s="376"/>
      <c r="D11" s="378"/>
      <c r="E11" s="360"/>
      <c r="F11" s="355"/>
      <c r="G11" s="359"/>
      <c r="H11" s="359"/>
      <c r="I11" s="402" t="s">
        <v>451</v>
      </c>
      <c r="J11" s="479"/>
      <c r="K11" s="479"/>
      <c r="L11" s="479"/>
      <c r="M11" s="405" t="s">
        <v>271</v>
      </c>
      <c r="N11" s="479"/>
      <c r="O11" s="479"/>
      <c r="P11" s="359"/>
      <c r="Q11" s="359"/>
      <c r="R11" s="359"/>
      <c r="S11" s="361"/>
      <c r="T11" s="359"/>
      <c r="U11" s="376" t="s">
        <v>607</v>
      </c>
      <c r="V11" s="364">
        <v>0</v>
      </c>
      <c r="W11" s="296" t="s">
        <v>432</v>
      </c>
      <c r="X11" s="418"/>
      <c r="Y11" s="342"/>
      <c r="AA11" s="620" t="str">
        <f>Church!B9</f>
        <v>Ames - Collegiate</v>
      </c>
    </row>
    <row r="12" spans="1:28" ht="12.75" hidden="1" x14ac:dyDescent="0.2">
      <c r="A12" s="359"/>
      <c r="B12" s="359"/>
      <c r="C12" s="376"/>
      <c r="D12" s="378"/>
      <c r="E12" s="360"/>
      <c r="F12" s="355"/>
      <c r="G12" s="359"/>
      <c r="H12" s="359"/>
      <c r="I12" s="402" t="s">
        <v>464</v>
      </c>
      <c r="J12" s="479"/>
      <c r="K12" s="479"/>
      <c r="L12" s="479"/>
      <c r="M12" s="405" t="s">
        <v>272</v>
      </c>
      <c r="N12" s="479"/>
      <c r="O12" s="479"/>
      <c r="P12" s="359"/>
      <c r="Q12" s="359"/>
      <c r="R12" s="359"/>
      <c r="S12" s="361"/>
      <c r="T12" s="359"/>
      <c r="U12" s="376" t="s">
        <v>607</v>
      </c>
      <c r="V12" s="364">
        <v>1</v>
      </c>
      <c r="W12" s="296" t="s">
        <v>618</v>
      </c>
      <c r="X12" s="418"/>
      <c r="Y12" s="342"/>
      <c r="AA12" s="620" t="str">
        <f>Church!B10</f>
        <v>Ames - Northminster</v>
      </c>
    </row>
    <row r="13" spans="1:28" ht="12.75" hidden="1" x14ac:dyDescent="0.2">
      <c r="A13" s="359"/>
      <c r="B13" s="359"/>
      <c r="C13" s="376"/>
      <c r="D13" s="378"/>
      <c r="E13" s="360"/>
      <c r="F13" s="355"/>
      <c r="G13" s="359"/>
      <c r="H13" s="359"/>
      <c r="I13" s="402" t="s">
        <v>298</v>
      </c>
      <c r="J13" s="479"/>
      <c r="K13" s="479"/>
      <c r="L13" s="479"/>
      <c r="M13" s="405" t="s">
        <v>274</v>
      </c>
      <c r="N13" s="479"/>
      <c r="O13" s="479"/>
      <c r="P13" s="359"/>
      <c r="Q13" s="359"/>
      <c r="R13" s="359"/>
      <c r="S13" s="361"/>
      <c r="T13" s="359"/>
      <c r="U13" s="376" t="s">
        <v>607</v>
      </c>
      <c r="V13" s="364">
        <v>2</v>
      </c>
      <c r="W13" s="296" t="s">
        <v>433</v>
      </c>
      <c r="X13" s="418"/>
      <c r="Y13" s="342"/>
      <c r="AA13" s="620" t="str">
        <f>Church!B11</f>
        <v>Boone - First</v>
      </c>
    </row>
    <row r="14" spans="1:28" ht="11.25" customHeight="1" thickBot="1" x14ac:dyDescent="0.25">
      <c r="A14">
        <v>2</v>
      </c>
      <c r="B14" s="142">
        <f>IF(ISBLANK(I14),1,0)</f>
        <v>1</v>
      </c>
      <c r="C14" s="96" t="str">
        <f>LEFT(I14,1)</f>
        <v/>
      </c>
      <c r="D14" s="176" t="s">
        <v>658</v>
      </c>
      <c r="E14" s="105"/>
      <c r="F14" s="110" t="s">
        <v>275</v>
      </c>
      <c r="G14" s="110"/>
      <c r="H14" s="110"/>
      <c r="I14" s="756"/>
      <c r="J14" s="756"/>
      <c r="K14" s="756"/>
      <c r="L14" s="756"/>
      <c r="M14" s="756"/>
      <c r="N14" s="106"/>
      <c r="O14" s="106"/>
      <c r="P14" s="106"/>
      <c r="Q14" s="106"/>
      <c r="R14" s="106"/>
      <c r="S14" s="108"/>
      <c r="T14" s="152"/>
      <c r="U14" s="374" t="s">
        <v>568</v>
      </c>
      <c r="V14" s="309" t="s">
        <v>434</v>
      </c>
      <c r="W14" s="365" t="s">
        <v>620</v>
      </c>
      <c r="X14" s="419"/>
      <c r="Y14" s="366"/>
      <c r="AA14" s="620" t="str">
        <f>Church!B12</f>
        <v>Burt - Burt</v>
      </c>
    </row>
    <row r="15" spans="1:28" ht="11.25" customHeight="1" x14ac:dyDescent="0.2">
      <c r="D15" s="444"/>
      <c r="E15" s="152"/>
      <c r="F15" s="170"/>
      <c r="G15" s="170"/>
      <c r="H15" s="170"/>
      <c r="I15" s="170"/>
      <c r="J15" s="152"/>
      <c r="K15" s="152"/>
      <c r="L15" s="170"/>
      <c r="M15" s="152"/>
      <c r="N15" s="152"/>
      <c r="O15" s="152"/>
      <c r="P15" s="152"/>
      <c r="Q15" s="152"/>
      <c r="R15" s="152"/>
      <c r="S15" s="152"/>
      <c r="T15" s="152"/>
      <c r="U15" s="187"/>
      <c r="V15" s="760" t="s">
        <v>622</v>
      </c>
      <c r="W15" s="761"/>
      <c r="X15" s="761"/>
      <c r="Y15" s="762"/>
      <c r="AA15" s="620" t="str">
        <f>Church!B13</f>
        <v>Cedar Falls - Cedar Heights</v>
      </c>
    </row>
    <row r="16" spans="1:28" ht="16.5" thickBot="1" x14ac:dyDescent="0.3">
      <c r="D16" s="444"/>
      <c r="E16" s="172" t="s">
        <v>342</v>
      </c>
      <c r="F16" s="154"/>
      <c r="G16" s="154"/>
      <c r="H16" s="154"/>
      <c r="I16" s="154"/>
      <c r="J16" s="154"/>
      <c r="K16" s="154"/>
      <c r="L16" s="152"/>
      <c r="M16" s="152"/>
      <c r="N16" s="152"/>
      <c r="O16" s="152"/>
      <c r="P16" s="152"/>
      <c r="Q16" s="152"/>
      <c r="R16" s="152"/>
      <c r="S16" s="152"/>
      <c r="T16" s="152"/>
      <c r="U16" s="187"/>
      <c r="V16" s="447">
        <v>-2</v>
      </c>
      <c r="W16" s="448" t="s">
        <v>630</v>
      </c>
      <c r="X16" s="449"/>
      <c r="Y16" s="423"/>
      <c r="Z16" s="355" t="s">
        <v>680</v>
      </c>
      <c r="AA16" s="620" t="str">
        <f>Church!B14</f>
        <v>Cedar Falls - First</v>
      </c>
    </row>
    <row r="17" spans="1:27" ht="11.25" customHeight="1" x14ac:dyDescent="0.2">
      <c r="A17">
        <v>2</v>
      </c>
      <c r="B17" s="142">
        <f>IF(ISBLANK(I17),1,0)</f>
        <v>1</v>
      </c>
      <c r="D17" s="176" t="s">
        <v>657</v>
      </c>
      <c r="E17" s="97"/>
      <c r="F17" s="98" t="s">
        <v>294</v>
      </c>
      <c r="G17" s="99"/>
      <c r="H17" s="99"/>
      <c r="I17" s="197"/>
      <c r="J17" s="163"/>
      <c r="K17" s="98" t="str">
        <f>IF(ISBLANK(I17),"◄ Enter 1 if only one church.", IF(I17=1,"","Yoked Congregations"))</f>
        <v>◄ Enter 1 if only one church.</v>
      </c>
      <c r="L17" s="98"/>
      <c r="M17" s="100"/>
      <c r="N17" s="163"/>
      <c r="O17" s="163"/>
      <c r="P17" s="100"/>
      <c r="Q17" s="763" t="s">
        <v>292</v>
      </c>
      <c r="R17" s="763"/>
      <c r="S17" s="764"/>
      <c r="T17" s="152"/>
      <c r="V17" s="447">
        <v>-1</v>
      </c>
      <c r="W17" s="448" t="s">
        <v>631</v>
      </c>
      <c r="X17" s="449"/>
      <c r="Y17" s="424"/>
      <c r="Z17" s="355" t="s">
        <v>683</v>
      </c>
      <c r="AA17" s="620" t="str">
        <f>Church!B15</f>
        <v>Clarion - United</v>
      </c>
    </row>
    <row r="18" spans="1:27" ht="11.25" customHeight="1" x14ac:dyDescent="0.2">
      <c r="A18" s="142">
        <f>IF(NCHURCHES&lt;1,0,2)</f>
        <v>0</v>
      </c>
      <c r="B18" s="142">
        <f>IF(ISBLANK(I18),IF(A18=2,1,0),IF(A18=0,2,0))</f>
        <v>0</v>
      </c>
      <c r="C18" s="103"/>
      <c r="D18" s="176" t="s">
        <v>658</v>
      </c>
      <c r="E18" s="102"/>
      <c r="F18" s="103"/>
      <c r="G18" s="103"/>
      <c r="H18" s="111" t="str">
        <f>IF(B18=0,"",IF(B18=1,"Select church from list:","Enter church count above ▲"))</f>
        <v/>
      </c>
      <c r="I18" s="688"/>
      <c r="J18" s="688"/>
      <c r="K18" s="688"/>
      <c r="L18" s="688"/>
      <c r="M18" s="196"/>
      <c r="N18" s="196" t="str">
        <f>IF(ISBLANK(I18)," ",VLOOKUP(I18,CHURCHES,2,FALSE))</f>
        <v xml:space="preserve"> </v>
      </c>
      <c r="O18" s="196"/>
      <c r="R18" t="str">
        <f>IF(ISBLANK(I18),"",VLOOKUP(I18,CHURCHES,4,FALSE))</f>
        <v/>
      </c>
      <c r="S18" s="165" t="str">
        <f>IF(ISBLANK(I18),"",VLOOKUP(I18,CHURCHES,5,FALSE))</f>
        <v/>
      </c>
      <c r="T18" s="152"/>
      <c r="V18" s="364">
        <v>0</v>
      </c>
      <c r="W18" s="207" t="s">
        <v>436</v>
      </c>
      <c r="X18" s="295"/>
      <c r="Y18" s="308"/>
      <c r="AA18" s="620" t="str">
        <f>Church!B16</f>
        <v>Conrad - First</v>
      </c>
    </row>
    <row r="19" spans="1:27" ht="11.25" customHeight="1" x14ac:dyDescent="0.2">
      <c r="A19" s="142">
        <f>IF(NCHURCHES&lt;2,0,2)</f>
        <v>0</v>
      </c>
      <c r="B19" s="142">
        <f>IF(ISBLANK(I19),IF(A19=2,1,0),IF(A19=0,2,0))</f>
        <v>0</v>
      </c>
      <c r="C19" s="103"/>
      <c r="D19" s="176" t="s">
        <v>659</v>
      </c>
      <c r="E19" s="102"/>
      <c r="F19" s="103"/>
      <c r="G19" s="103"/>
      <c r="H19" s="111" t="str">
        <f>IF(B19=0,"",IF(B19=1,"Select church from list:","               Clear this entry ►"))</f>
        <v/>
      </c>
      <c r="I19" s="688"/>
      <c r="J19" s="688"/>
      <c r="K19" s="688"/>
      <c r="L19" s="688"/>
      <c r="M19" s="196"/>
      <c r="N19" s="196" t="str">
        <f>IF(ISBLANK(I19)," ",VLOOKUP(I19,CHURCHES,2,FALSE))</f>
        <v xml:space="preserve"> </v>
      </c>
      <c r="O19" s="196"/>
      <c r="R19" t="str">
        <f>IF(ISBLANK(I19),"",VLOOKUP(I19,CHURCHES,4,FALSE))</f>
        <v/>
      </c>
      <c r="S19" s="165" t="str">
        <f>IF(ISBLANK(I19),"",VLOOKUP(I19,CHURCHES,5,FALSE))</f>
        <v/>
      </c>
      <c r="T19" s="152"/>
      <c r="V19" s="364">
        <v>1</v>
      </c>
      <c r="W19" s="207" t="s">
        <v>369</v>
      </c>
      <c r="X19" s="295"/>
      <c r="Y19" s="367"/>
      <c r="AA19" s="620" t="e">
        <f>Church!#REF!</f>
        <v>#REF!</v>
      </c>
    </row>
    <row r="20" spans="1:27" ht="11.25" customHeight="1" x14ac:dyDescent="0.2">
      <c r="A20" s="142">
        <f>IF(NCHURCHES&lt;3,0,2)</f>
        <v>0</v>
      </c>
      <c r="B20" s="142">
        <f>IF(ISBLANK(I20),IF(A20=2,1,0),IF(A20=0,2,0))</f>
        <v>0</v>
      </c>
      <c r="C20" s="103"/>
      <c r="D20" s="176" t="s">
        <v>660</v>
      </c>
      <c r="E20" s="102"/>
      <c r="F20" s="103"/>
      <c r="G20" s="103"/>
      <c r="H20" s="111" t="str">
        <f>IF(B20=0,"",IF(B20=1,"Select church from list:","               Clear this entry ►"))</f>
        <v/>
      </c>
      <c r="I20" s="688"/>
      <c r="J20" s="688"/>
      <c r="K20" s="688"/>
      <c r="L20" s="688"/>
      <c r="M20" s="196"/>
      <c r="N20" s="196" t="str">
        <f>IF(ISBLANK(I20)," ",VLOOKUP(I20,CHURCHES,2,FALSE))</f>
        <v xml:space="preserve"> </v>
      </c>
      <c r="O20" s="196"/>
      <c r="R20" t="str">
        <f>IF(ISBLANK(I20),"",VLOOKUP(I20,CHURCHES,4,FALSE))</f>
        <v/>
      </c>
      <c r="S20" s="165" t="str">
        <f>IF(ISBLANK(I20),"",VLOOKUP(I20,CHURCHES,5,FALSE))</f>
        <v/>
      </c>
      <c r="T20" s="152"/>
      <c r="V20" s="364">
        <v>2</v>
      </c>
      <c r="W20" s="207" t="s">
        <v>437</v>
      </c>
      <c r="X20" s="295"/>
      <c r="Y20" s="368"/>
      <c r="AA20" s="620" t="str">
        <f>Church!B17</f>
        <v>Fort Dodge - First</v>
      </c>
    </row>
    <row r="21" spans="1:27" ht="11.25" customHeight="1" thickBot="1" x14ac:dyDescent="0.25">
      <c r="A21" s="142">
        <f>IF(NCHURCHES&lt;4,0,2)</f>
        <v>0</v>
      </c>
      <c r="B21" s="142">
        <f>IF(ISBLANK(I21),IF(A21=2,1,0),IF(A21=0,2,0))</f>
        <v>0</v>
      </c>
      <c r="C21" s="103"/>
      <c r="D21" s="176" t="s">
        <v>661</v>
      </c>
      <c r="E21" s="102"/>
      <c r="F21" s="103"/>
      <c r="H21" s="111" t="str">
        <f>IF(B21=0,"",IF(B21=1,"Select church from list:","               Clear this entry ►"))</f>
        <v/>
      </c>
      <c r="I21" s="688"/>
      <c r="J21" s="688"/>
      <c r="K21" s="688"/>
      <c r="L21" s="688"/>
      <c r="M21" s="196"/>
      <c r="N21" s="196" t="str">
        <f>IF(ISBLANK(I21)," ",VLOOKUP(I21,CHURCHES,2,FALSE))</f>
        <v xml:space="preserve"> </v>
      </c>
      <c r="O21" s="196"/>
      <c r="R21" t="str">
        <f>IF(ISBLANK(I21),"",VLOOKUP(I21,CHURCHES,4,FALSE))</f>
        <v/>
      </c>
      <c r="S21" s="165" t="str">
        <f>IF(ISBLANK(I21),"",VLOOKUP(I21,CHURCHES,5,FALSE))</f>
        <v/>
      </c>
      <c r="T21" s="152"/>
      <c r="V21" s="309" t="s">
        <v>434</v>
      </c>
      <c r="W21" s="422" t="s">
        <v>438</v>
      </c>
      <c r="X21" s="329"/>
      <c r="Y21" s="370"/>
      <c r="AA21" s="620" t="str">
        <f>Church!B18</f>
        <v>Garner - United</v>
      </c>
    </row>
    <row r="22" spans="1:27" ht="11.25" customHeight="1" thickBot="1" x14ac:dyDescent="0.25">
      <c r="D22" s="444"/>
      <c r="E22" s="105"/>
      <c r="F22" s="106"/>
      <c r="G22" s="106"/>
      <c r="H22" s="106"/>
      <c r="I22" s="107"/>
      <c r="J22" s="107"/>
      <c r="K22" s="107"/>
      <c r="L22" s="221"/>
      <c r="M22" s="106"/>
      <c r="N22" s="221"/>
      <c r="O22" s="221"/>
      <c r="P22" s="112"/>
      <c r="Q22" s="234" t="s">
        <v>367</v>
      </c>
      <c r="R22" s="106">
        <f>SUM(R18:R21)</f>
        <v>0</v>
      </c>
      <c r="S22" s="166"/>
      <c r="T22" s="152"/>
      <c r="V22" s="760" t="s">
        <v>623</v>
      </c>
      <c r="W22" s="761"/>
      <c r="X22" s="761"/>
      <c r="Y22" s="762"/>
      <c r="AA22" s="620" t="str">
        <f>Church!B19</f>
        <v>Goldfield - United</v>
      </c>
    </row>
    <row r="23" spans="1:27" ht="11.25" customHeight="1" x14ac:dyDescent="0.2">
      <c r="D23" s="444"/>
      <c r="E23" s="152"/>
      <c r="F23" s="170"/>
      <c r="G23" s="170"/>
      <c r="H23" s="170"/>
      <c r="I23" s="152"/>
      <c r="J23" s="152"/>
      <c r="K23" s="152"/>
      <c r="L23" s="170"/>
      <c r="M23" s="152"/>
      <c r="N23" s="152"/>
      <c r="O23" s="152"/>
      <c r="P23" s="152"/>
      <c r="Q23" s="152"/>
      <c r="R23" s="152"/>
      <c r="S23" s="152"/>
      <c r="T23" s="152"/>
      <c r="V23" s="371"/>
      <c r="W23" s="297" t="s">
        <v>439</v>
      </c>
      <c r="X23" s="418"/>
      <c r="Y23" s="342"/>
      <c r="AA23" s="620" t="str">
        <f>Church!B20</f>
        <v>Grand Junction - First</v>
      </c>
    </row>
    <row r="24" spans="1:27" ht="16.5" thickBot="1" x14ac:dyDescent="0.3">
      <c r="D24" s="444"/>
      <c r="E24" s="172" t="s">
        <v>343</v>
      </c>
      <c r="F24" s="154"/>
      <c r="G24" s="154"/>
      <c r="H24" s="154"/>
      <c r="I24" s="152"/>
      <c r="J24" s="152"/>
      <c r="K24" s="152"/>
      <c r="L24" s="152"/>
      <c r="M24" s="152"/>
      <c r="N24" s="152"/>
      <c r="O24" s="152"/>
      <c r="P24" s="152"/>
      <c r="Q24" s="152"/>
      <c r="R24" s="152"/>
      <c r="S24" s="152"/>
      <c r="T24" s="152"/>
      <c r="V24" s="372"/>
      <c r="W24" s="297" t="s">
        <v>440</v>
      </c>
      <c r="X24" s="418"/>
      <c r="Y24" s="342"/>
      <c r="AA24" s="620" t="str">
        <f>Church!B21</f>
        <v>Greene - First</v>
      </c>
    </row>
    <row r="25" spans="1:27" ht="11.25" customHeight="1" thickBot="1" x14ac:dyDescent="0.25">
      <c r="A25">
        <v>2</v>
      </c>
      <c r="B25" s="142">
        <f>IF(ISBLANK(I25),1,0)</f>
        <v>1</v>
      </c>
      <c r="C25" s="87"/>
      <c r="D25" s="176" t="s">
        <v>657</v>
      </c>
      <c r="E25" s="97"/>
      <c r="F25" s="98" t="s">
        <v>14</v>
      </c>
      <c r="G25" s="99"/>
      <c r="H25" s="99"/>
      <c r="I25" s="687"/>
      <c r="J25" s="687"/>
      <c r="K25" s="687"/>
      <c r="L25" s="687"/>
      <c r="M25" s="687"/>
      <c r="N25" s="687"/>
      <c r="O25" s="687"/>
      <c r="P25" s="100"/>
      <c r="Q25" s="100"/>
      <c r="R25" s="100"/>
      <c r="S25" s="101"/>
      <c r="T25" s="152"/>
      <c r="U25" s="374" t="s">
        <v>567</v>
      </c>
      <c r="V25" s="309" t="s">
        <v>441</v>
      </c>
      <c r="W25" s="373" t="s">
        <v>493</v>
      </c>
      <c r="X25" s="419"/>
      <c r="Y25" s="366"/>
      <c r="AA25" s="620" t="str">
        <f>Church!B22</f>
        <v>Grundy Center - Bethany</v>
      </c>
    </row>
    <row r="26" spans="1:27" ht="13.5" hidden="1" thickBot="1" x14ac:dyDescent="0.25">
      <c r="A26" s="359"/>
      <c r="B26" s="359"/>
      <c r="C26" s="376"/>
      <c r="D26" s="376"/>
      <c r="E26" s="403"/>
      <c r="F26" s="355"/>
      <c r="G26" s="404"/>
      <c r="H26" s="404"/>
      <c r="I26" s="479" t="s">
        <v>841</v>
      </c>
      <c r="J26" s="479"/>
      <c r="K26" s="479"/>
      <c r="L26" s="479"/>
      <c r="M26" s="627"/>
      <c r="N26" s="628" t="s">
        <v>199</v>
      </c>
      <c r="O26" s="628" t="s">
        <v>271</v>
      </c>
      <c r="P26" s="628" t="s">
        <v>272</v>
      </c>
      <c r="Q26" s="628" t="s">
        <v>274</v>
      </c>
      <c r="R26" s="359"/>
      <c r="S26" s="361"/>
      <c r="T26" s="359"/>
      <c r="U26" s="376" t="s">
        <v>607</v>
      </c>
      <c r="V26" s="753" t="s">
        <v>624</v>
      </c>
      <c r="W26" s="754"/>
      <c r="X26" s="754"/>
      <c r="Y26" s="755"/>
      <c r="AA26" s="620" t="str">
        <f>Church!B23</f>
        <v>Grundy Center - First</v>
      </c>
    </row>
    <row r="27" spans="1:27" ht="12.75" hidden="1" customHeight="1" x14ac:dyDescent="0.2">
      <c r="A27" s="359"/>
      <c r="B27" s="359"/>
      <c r="C27" s="376"/>
      <c r="D27" s="376"/>
      <c r="E27" s="403"/>
      <c r="F27" s="355"/>
      <c r="G27" s="404"/>
      <c r="H27" s="404"/>
      <c r="I27" s="402" t="s">
        <v>608</v>
      </c>
      <c r="J27" s="402"/>
      <c r="K27" s="402"/>
      <c r="L27" s="402"/>
      <c r="M27" s="628" t="s">
        <v>273</v>
      </c>
      <c r="N27" s="628" t="s">
        <v>458</v>
      </c>
      <c r="O27" s="628" t="s">
        <v>458</v>
      </c>
      <c r="P27" s="628" t="s">
        <v>288</v>
      </c>
      <c r="Q27" s="628" t="s">
        <v>296</v>
      </c>
      <c r="R27" s="359"/>
      <c r="S27" s="361"/>
      <c r="T27" s="359"/>
      <c r="U27" s="376" t="s">
        <v>607</v>
      </c>
      <c r="V27" s="747" t="s">
        <v>632</v>
      </c>
      <c r="W27" s="748"/>
      <c r="X27" s="748"/>
      <c r="Y27" s="749"/>
      <c r="AA27" s="620" t="str">
        <f>Church!B24</f>
        <v>Irvington - First</v>
      </c>
    </row>
    <row r="28" spans="1:27" ht="12.75" hidden="1" x14ac:dyDescent="0.2">
      <c r="A28" s="359"/>
      <c r="B28" s="359"/>
      <c r="C28" s="376"/>
      <c r="D28" s="376"/>
      <c r="E28" s="403"/>
      <c r="F28" s="355"/>
      <c r="G28" s="404"/>
      <c r="H28" s="404"/>
      <c r="I28" s="402" t="s">
        <v>609</v>
      </c>
      <c r="J28" s="402"/>
      <c r="K28" s="402"/>
      <c r="L28" s="402"/>
      <c r="M28" s="628" t="s">
        <v>277</v>
      </c>
      <c r="N28" s="628" t="s">
        <v>459</v>
      </c>
      <c r="O28" s="628" t="s">
        <v>459</v>
      </c>
      <c r="P28" s="628" t="s">
        <v>202</v>
      </c>
      <c r="Q28" s="628" t="s">
        <v>296</v>
      </c>
      <c r="R28" s="359"/>
      <c r="S28" s="361"/>
      <c r="T28" s="359"/>
      <c r="U28" s="376" t="s">
        <v>607</v>
      </c>
      <c r="V28" s="750"/>
      <c r="W28" s="751"/>
      <c r="X28" s="751"/>
      <c r="Y28" s="752"/>
      <c r="AA28" s="620" t="str">
        <f>Church!B25</f>
        <v>Jefferson - First</v>
      </c>
    </row>
    <row r="29" spans="1:27" ht="12.75" hidden="1" x14ac:dyDescent="0.2">
      <c r="A29" s="359"/>
      <c r="B29" s="359"/>
      <c r="C29" s="376"/>
      <c r="D29" s="376"/>
      <c r="E29" s="403"/>
      <c r="F29" s="355"/>
      <c r="G29" s="404"/>
      <c r="H29" s="404"/>
      <c r="I29" s="402" t="s">
        <v>281</v>
      </c>
      <c r="J29" s="402"/>
      <c r="K29" s="402"/>
      <c r="L29" s="402"/>
      <c r="M29" s="628" t="s">
        <v>278</v>
      </c>
      <c r="N29" s="628" t="s">
        <v>460</v>
      </c>
      <c r="O29" s="628" t="s">
        <v>460</v>
      </c>
      <c r="P29" s="628" t="s">
        <v>297</v>
      </c>
      <c r="Q29" s="628" t="s">
        <v>296</v>
      </c>
      <c r="R29" s="359"/>
      <c r="S29" s="361"/>
      <c r="T29" s="359"/>
      <c r="U29" s="376" t="s">
        <v>607</v>
      </c>
      <c r="V29" s="421"/>
      <c r="W29" s="207" t="s">
        <v>626</v>
      </c>
      <c r="X29" s="418"/>
      <c r="Y29" s="342"/>
      <c r="AA29" s="620" t="str">
        <f>Church!B26</f>
        <v>Jesup, - First</v>
      </c>
    </row>
    <row r="30" spans="1:27" ht="11.25" customHeight="1" thickBot="1" x14ac:dyDescent="0.25">
      <c r="A30">
        <v>2</v>
      </c>
      <c r="B30" s="142">
        <f>IF(ISBLANK(I30),1,0)</f>
        <v>1</v>
      </c>
      <c r="C30" s="96" t="str">
        <f>LEFT(I30,1)</f>
        <v/>
      </c>
      <c r="D30" s="176" t="s">
        <v>658</v>
      </c>
      <c r="E30" s="102"/>
      <c r="F30" s="103" t="s">
        <v>610</v>
      </c>
      <c r="G30" s="103"/>
      <c r="H30" s="103"/>
      <c r="I30" s="688"/>
      <c r="J30" s="688"/>
      <c r="K30" s="688"/>
      <c r="L30" s="688"/>
      <c r="S30" s="104"/>
      <c r="T30" s="152"/>
      <c r="U30" s="446" t="s">
        <v>679</v>
      </c>
      <c r="V30" s="371"/>
      <c r="W30" s="297" t="s">
        <v>439</v>
      </c>
      <c r="X30" s="418"/>
      <c r="Y30" s="342"/>
      <c r="AA30" s="620" t="str">
        <f>Church!B27</f>
        <v>Kamrar - First</v>
      </c>
    </row>
    <row r="31" spans="1:27" ht="13.5" hidden="1" thickBot="1" x14ac:dyDescent="0.25">
      <c r="A31" s="359"/>
      <c r="B31" s="359"/>
      <c r="C31" s="376"/>
      <c r="D31" s="376"/>
      <c r="E31" s="360"/>
      <c r="F31" s="355"/>
      <c r="G31" s="355"/>
      <c r="H31" s="355"/>
      <c r="I31" s="355"/>
      <c r="J31" s="404" t="s">
        <v>611</v>
      </c>
      <c r="K31" s="355"/>
      <c r="L31" s="355"/>
      <c r="M31" s="355"/>
      <c r="N31" s="359"/>
      <c r="O31" s="359"/>
      <c r="P31" s="359"/>
      <c r="Q31" s="359"/>
      <c r="R31" s="359"/>
      <c r="S31" s="361"/>
      <c r="T31" s="359"/>
      <c r="U31" s="376" t="s">
        <v>607</v>
      </c>
      <c r="V31" s="372"/>
      <c r="W31" s="207" t="s">
        <v>629</v>
      </c>
      <c r="X31" s="418"/>
      <c r="Y31" s="342"/>
      <c r="AA31" s="620" t="str">
        <f>Church!B28</f>
        <v>Lakota - First</v>
      </c>
    </row>
    <row r="32" spans="1:27" ht="13.5" hidden="1" thickBot="1" x14ac:dyDescent="0.25">
      <c r="A32" s="359"/>
      <c r="B32" s="359"/>
      <c r="C32" s="376"/>
      <c r="D32" s="376"/>
      <c r="E32" s="360"/>
      <c r="F32" s="355"/>
      <c r="G32" s="355"/>
      <c r="H32" s="355"/>
      <c r="I32" s="355" t="s">
        <v>282</v>
      </c>
      <c r="J32" s="355"/>
      <c r="K32" s="355"/>
      <c r="L32" s="355"/>
      <c r="M32" s="405" t="s">
        <v>279</v>
      </c>
      <c r="N32" s="359"/>
      <c r="O32" s="359"/>
      <c r="P32" s="359"/>
      <c r="Q32" s="359"/>
      <c r="R32" s="359"/>
      <c r="S32" s="361"/>
      <c r="T32" s="359"/>
      <c r="U32" s="376" t="s">
        <v>607</v>
      </c>
      <c r="V32" s="420"/>
      <c r="W32" s="207" t="s">
        <v>627</v>
      </c>
      <c r="X32" s="418"/>
      <c r="Y32" s="342"/>
      <c r="Z32" s="355" t="s">
        <v>680</v>
      </c>
      <c r="AA32" s="620" t="str">
        <f>Church!B29</f>
        <v>Le Roy MN - First</v>
      </c>
    </row>
    <row r="33" spans="1:27" ht="13.5" hidden="1" thickBot="1" x14ac:dyDescent="0.25">
      <c r="A33" s="359"/>
      <c r="B33" s="359"/>
      <c r="C33" s="376"/>
      <c r="D33" s="376"/>
      <c r="E33" s="360"/>
      <c r="F33" s="355"/>
      <c r="G33" s="355"/>
      <c r="H33" s="355"/>
      <c r="I33" s="355" t="s">
        <v>617</v>
      </c>
      <c r="J33" s="355"/>
      <c r="K33" s="355"/>
      <c r="L33" s="355"/>
      <c r="M33" s="405" t="s">
        <v>269</v>
      </c>
      <c r="N33" s="359"/>
      <c r="O33" s="359"/>
      <c r="P33" s="359"/>
      <c r="Q33" s="359"/>
      <c r="R33" s="359"/>
      <c r="S33" s="361"/>
      <c r="T33" s="359"/>
      <c r="U33" s="376" t="s">
        <v>607</v>
      </c>
      <c r="V33" s="425"/>
      <c r="W33" s="422" t="s">
        <v>628</v>
      </c>
      <c r="X33" s="419"/>
      <c r="Y33" s="366"/>
      <c r="Z33" s="355" t="s">
        <v>683</v>
      </c>
      <c r="AA33" s="620" t="str">
        <f>Church!B30</f>
        <v>Lincoln - Salem</v>
      </c>
    </row>
    <row r="34" spans="1:27" ht="11.25" customHeight="1" x14ac:dyDescent="0.2">
      <c r="A34" s="142">
        <f>IF(AND(OR(E_STATUS="M",E_STATUS="R"),OR(P_STATUS="L",P_STATUS="A")),2,0)</f>
        <v>0</v>
      </c>
      <c r="B34" s="142">
        <f>IF(ISBLANK(I34),IF(A34=2,1,0),IF(A34=0,2,0))</f>
        <v>0</v>
      </c>
      <c r="C34" s="480" t="b">
        <f>I34=I32</f>
        <v>0</v>
      </c>
      <c r="D34" s="445" t="s">
        <v>659</v>
      </c>
      <c r="E34" s="102"/>
      <c r="F34" s="103" t="s">
        <v>612</v>
      </c>
      <c r="I34" s="688"/>
      <c r="J34" s="688"/>
      <c r="K34" s="688"/>
      <c r="L34" s="103" t="str">
        <f>IF(B34=2,"◄ Clear this entry","")</f>
        <v/>
      </c>
      <c r="M34" s="103"/>
      <c r="N34" s="103" t="str">
        <f>IF(A34=0,"(Only Ministers serving as Pastors or Assoc. Pastors can be installed.)","")</f>
        <v>(Only Ministers serving as Pastors or Assoc. Pastors can be installed.)</v>
      </c>
      <c r="S34" s="104"/>
      <c r="T34" s="152"/>
      <c r="U34" s="374" t="s">
        <v>568</v>
      </c>
      <c r="V34" s="744" t="s">
        <v>633</v>
      </c>
      <c r="W34" s="745"/>
      <c r="X34" s="745"/>
      <c r="Y34" s="746"/>
      <c r="AA34" s="620" t="str">
        <f>Church!B31</f>
        <v>Lone Rock - Lone Rock</v>
      </c>
    </row>
    <row r="35" spans="1:27" ht="11.25" customHeight="1" thickBot="1" x14ac:dyDescent="0.25">
      <c r="A35">
        <v>1</v>
      </c>
      <c r="C35" s="96">
        <f>IF(ISBLANK(I35),40,I35)</f>
        <v>40</v>
      </c>
      <c r="D35" s="176" t="s">
        <v>660</v>
      </c>
      <c r="E35" s="102"/>
      <c r="F35" s="103" t="str">
        <f>IF(ISBLANK(I35),"Expected time - change if less","Expected time - clear if full time")</f>
        <v>Expected time - change if less</v>
      </c>
      <c r="G35" s="103"/>
      <c r="H35" s="103"/>
      <c r="I35" s="224"/>
      <c r="J35" s="87" t="s">
        <v>615</v>
      </c>
      <c r="K35" s="85"/>
      <c r="L35" s="111"/>
      <c r="N35" s="453">
        <f>HR_PER_WK/40</f>
        <v>1</v>
      </c>
      <c r="O35" s="103" t="s">
        <v>635</v>
      </c>
      <c r="S35" s="104"/>
      <c r="T35" s="152"/>
      <c r="V35" s="723"/>
      <c r="W35" s="724"/>
      <c r="X35" s="724"/>
      <c r="Y35" s="725"/>
      <c r="AA35" s="620" t="str">
        <f>Church!B32</f>
        <v>Marshalltown - First</v>
      </c>
    </row>
    <row r="36" spans="1:27" ht="11.25" customHeight="1" x14ac:dyDescent="0.2">
      <c r="A36">
        <v>0</v>
      </c>
      <c r="D36" s="444"/>
      <c r="E36" s="102"/>
      <c r="F36" s="103" t="str">
        <f>CONCATENATE("If Call is for only part of year ",YEAR,", correct the following dates as needed: ")</f>
        <v xml:space="preserve">If Call is for only part of year 2023, correct the following dates as needed: </v>
      </c>
      <c r="G36" s="103"/>
      <c r="H36" s="103"/>
      <c r="N36" s="426"/>
      <c r="O36" s="439" t="str">
        <f>IF(N37&lt;(EOY-SOY+1),"Part Year","Full Year")</f>
        <v>Full Year</v>
      </c>
      <c r="S36" s="104"/>
      <c r="T36" s="152"/>
      <c r="V36" s="744" t="s">
        <v>625</v>
      </c>
      <c r="W36" s="745"/>
      <c r="X36" s="745"/>
      <c r="Y36" s="746"/>
      <c r="AA36" s="620" t="str">
        <f>Church!B33</f>
        <v>Mason City - First</v>
      </c>
    </row>
    <row r="37" spans="1:27" ht="11.25" customHeight="1" thickBot="1" x14ac:dyDescent="0.25">
      <c r="A37">
        <v>1</v>
      </c>
      <c r="B37" s="142">
        <f>IF(N37&lt;1,2,0)</f>
        <v>0</v>
      </c>
      <c r="C37" s="430">
        <f>IF(ISBLANK(I37),SOY,DATE(YEAR,MONTH(I37),DAY(I37)))</f>
        <v>44927</v>
      </c>
      <c r="D37" s="176" t="s">
        <v>661</v>
      </c>
      <c r="E37" s="102"/>
      <c r="F37" s="85"/>
      <c r="G37" s="85"/>
      <c r="H37" s="111" t="s">
        <v>638</v>
      </c>
      <c r="I37" s="733"/>
      <c r="J37" s="733"/>
      <c r="K37" s="690">
        <f>C37</f>
        <v>44927</v>
      </c>
      <c r="L37" s="690"/>
      <c r="M37" s="427"/>
      <c r="N37" s="428">
        <f>C38-C37+1</f>
        <v>365</v>
      </c>
      <c r="O37" s="103" t="s">
        <v>636</v>
      </c>
      <c r="P37" s="397" t="s">
        <v>682</v>
      </c>
      <c r="S37" s="104"/>
      <c r="T37" s="152"/>
      <c r="V37" s="723"/>
      <c r="W37" s="724"/>
      <c r="X37" s="724"/>
      <c r="Y37" s="725"/>
      <c r="AA37" s="620" t="str">
        <f>Church!B34</f>
        <v>Maxwell - First</v>
      </c>
    </row>
    <row r="38" spans="1:27" ht="11.25" customHeight="1" thickBot="1" x14ac:dyDescent="0.25">
      <c r="A38">
        <v>1</v>
      </c>
      <c r="B38" s="142">
        <f>B37</f>
        <v>0</v>
      </c>
      <c r="C38" s="430">
        <f>IF(ISBLANK(I38),EOY,DATE(YEAR,MONTH(I38),DAY(I38)))</f>
        <v>45291</v>
      </c>
      <c r="D38" s="176" t="s">
        <v>662</v>
      </c>
      <c r="E38" s="105"/>
      <c r="F38" s="113"/>
      <c r="G38" s="112"/>
      <c r="H38" s="112" t="s">
        <v>639</v>
      </c>
      <c r="I38" s="732"/>
      <c r="J38" s="732"/>
      <c r="K38" s="689">
        <f>C38</f>
        <v>45291</v>
      </c>
      <c r="L38" s="689"/>
      <c r="M38" s="429"/>
      <c r="N38" s="452">
        <f>N37/(EOY-SOY+1)</f>
        <v>1</v>
      </c>
      <c r="O38" s="110" t="s">
        <v>634</v>
      </c>
      <c r="P38" s="450" t="s">
        <v>681</v>
      </c>
      <c r="Q38" s="106"/>
      <c r="R38" s="106"/>
      <c r="S38" s="108"/>
      <c r="T38" s="152"/>
      <c r="V38" s="87"/>
      <c r="W38" s="103"/>
      <c r="AA38" s="620" t="str">
        <f>Church!B35</f>
        <v>McCallsburg - McCallsburg</v>
      </c>
    </row>
    <row r="39" spans="1:27" ht="11.25" customHeight="1" x14ac:dyDescent="0.2">
      <c r="D39" s="444"/>
      <c r="E39" s="152"/>
      <c r="F39" s="173"/>
      <c r="G39" s="174"/>
      <c r="H39" s="174"/>
      <c r="I39" s="175"/>
      <c r="J39" s="175"/>
      <c r="K39" s="175"/>
      <c r="L39" s="152"/>
      <c r="M39" s="152"/>
      <c r="N39" s="152"/>
      <c r="O39" s="152"/>
      <c r="P39" s="152"/>
      <c r="Q39" s="152"/>
      <c r="R39" s="152"/>
      <c r="S39" s="152"/>
      <c r="T39" s="152"/>
      <c r="V39" s="87"/>
      <c r="W39" s="103"/>
      <c r="AA39" s="620" t="str">
        <f>Church!B36</f>
        <v>Nevada - Central</v>
      </c>
    </row>
    <row r="40" spans="1:27" ht="16.5" thickBot="1" x14ac:dyDescent="0.3">
      <c r="D40" s="444"/>
      <c r="E40" s="172" t="s">
        <v>519</v>
      </c>
      <c r="F40" s="152"/>
      <c r="G40" s="152"/>
      <c r="H40" s="152"/>
      <c r="I40" s="152"/>
      <c r="J40" s="152"/>
      <c r="K40" s="152"/>
      <c r="L40" s="152"/>
      <c r="M40" s="152"/>
      <c r="N40" s="152"/>
      <c r="O40" s="152"/>
      <c r="P40" s="176"/>
      <c r="Q40" s="176"/>
      <c r="R40" s="176"/>
      <c r="S40" s="176"/>
      <c r="T40" s="152"/>
      <c r="V40" s="715" t="s">
        <v>353</v>
      </c>
      <c r="W40" s="715"/>
      <c r="X40" s="715"/>
      <c r="Y40" s="715"/>
      <c r="Z40" s="693"/>
      <c r="AA40" s="620" t="str">
        <f>Church!B37</f>
        <v>Paton - First</v>
      </c>
    </row>
    <row r="41" spans="1:27" ht="11.25" customHeight="1" x14ac:dyDescent="0.2">
      <c r="B41" s="142">
        <f>IF(ISERROR(C41),1,0)</f>
        <v>1</v>
      </c>
      <c r="C41" s="73" t="e">
        <f>VLOOKUP(P_STATUS,PTYPE_TABLE,MATCH(E_STATUS,M26:Q26,0),FALSE)</f>
        <v>#N/A</v>
      </c>
      <c r="D41" s="444"/>
      <c r="E41" s="109"/>
      <c r="F41" s="98" t="s">
        <v>350</v>
      </c>
      <c r="G41" s="98"/>
      <c r="H41" s="98"/>
      <c r="I41" s="675" t="str">
        <f>IFERROR(VLOOKUP(P_CLASS,V41:W47,2,FALSE),"Entries in sections 1, 2,  or 3 are needed before proceeding.")</f>
        <v>Entries in sections 1, 2,  or 3 are needed before proceeding.</v>
      </c>
      <c r="J41" s="675"/>
      <c r="K41" s="675"/>
      <c r="L41" s="675"/>
      <c r="M41" s="675"/>
      <c r="N41" s="675"/>
      <c r="O41" s="675"/>
      <c r="P41" s="163" t="e">
        <f>IF(P_CLASS&gt;"O","Suggested","Required")</f>
        <v>#N/A</v>
      </c>
      <c r="Q41" s="163" t="s">
        <v>285</v>
      </c>
      <c r="R41" s="163" t="s">
        <v>285</v>
      </c>
      <c r="S41" s="223"/>
      <c r="T41" s="152"/>
      <c r="V41" s="299" t="s">
        <v>458</v>
      </c>
      <c r="W41" s="727" t="s">
        <v>452</v>
      </c>
      <c r="X41" s="727"/>
      <c r="Y41" s="727"/>
      <c r="Z41" s="220">
        <f>LEVEL</f>
        <v>1</v>
      </c>
      <c r="AA41" s="620" t="str">
        <f>Church!B38</f>
        <v>Reinbeck - Amity</v>
      </c>
    </row>
    <row r="42" spans="1:27" ht="11.25" customHeight="1" x14ac:dyDescent="0.2">
      <c r="D42" s="444"/>
      <c r="E42" s="102"/>
      <c r="F42" s="103" t="s">
        <v>286</v>
      </c>
      <c r="G42" s="103"/>
      <c r="H42" s="103"/>
      <c r="I42" s="87">
        <f>R22</f>
        <v>0</v>
      </c>
      <c r="J42" s="87"/>
      <c r="P42" s="87" t="s">
        <v>284</v>
      </c>
      <c r="Q42" s="87" t="s">
        <v>287</v>
      </c>
      <c r="R42" s="87" t="s">
        <v>17</v>
      </c>
      <c r="S42" s="141"/>
      <c r="T42" s="152"/>
      <c r="V42" s="299" t="s">
        <v>459</v>
      </c>
      <c r="W42" s="727" t="s">
        <v>453</v>
      </c>
      <c r="X42" s="727"/>
      <c r="Y42" s="727"/>
      <c r="Z42" s="220">
        <v>10</v>
      </c>
      <c r="AA42" s="620" t="str">
        <f>Church!B39</f>
        <v>Reinbeck - First</v>
      </c>
    </row>
    <row r="43" spans="1:27" ht="11.25" customHeight="1" x14ac:dyDescent="0.2">
      <c r="D43" s="444"/>
      <c r="E43" s="102"/>
      <c r="F43" s="103" t="s">
        <v>270</v>
      </c>
      <c r="G43" s="103"/>
      <c r="H43" s="103"/>
      <c r="I43" s="7">
        <f>MATCH(I42,ATT_BREAKS)</f>
        <v>1</v>
      </c>
      <c r="J43" s="87"/>
      <c r="L43" s="103"/>
      <c r="O43" s="103" t="s">
        <v>290</v>
      </c>
      <c r="P43" s="209" t="e">
        <f>INDEX(COMP,COMP_LINE,5)</f>
        <v>#N/A</v>
      </c>
      <c r="Q43" s="209" t="e">
        <f>INDEX(COMP,COMP_LINE,6)</f>
        <v>#N/A</v>
      </c>
      <c r="R43" s="209" t="e">
        <f>INDEX(COMP,COMP_LINE,7)</f>
        <v>#N/A</v>
      </c>
      <c r="S43" s="210"/>
      <c r="T43" s="152"/>
      <c r="V43" s="188" t="s">
        <v>288</v>
      </c>
      <c r="W43" s="727" t="s">
        <v>465</v>
      </c>
      <c r="X43" s="727"/>
      <c r="Y43" s="727"/>
      <c r="Z43" s="220">
        <f>LEVEL+11</f>
        <v>12</v>
      </c>
      <c r="AA43" s="620" t="str">
        <f>Church!B40</f>
        <v>Rudd - Eden</v>
      </c>
    </row>
    <row r="44" spans="1:27" ht="11.25" customHeight="1" thickBot="1" x14ac:dyDescent="0.25">
      <c r="D44" s="444"/>
      <c r="E44" s="105"/>
      <c r="F44" s="110" t="s">
        <v>4</v>
      </c>
      <c r="G44" s="110"/>
      <c r="H44" s="110"/>
      <c r="I44" s="493">
        <f>PCT_FULL_TIME</f>
        <v>1</v>
      </c>
      <c r="J44" s="493"/>
      <c r="K44" s="493"/>
      <c r="L44" s="493"/>
      <c r="M44" s="106"/>
      <c r="N44" s="106"/>
      <c r="O44" s="110" t="s">
        <v>291</v>
      </c>
      <c r="P44" s="161" t="e">
        <f>P43*I44</f>
        <v>#N/A</v>
      </c>
      <c r="Q44" s="161" t="e">
        <f>Q43*I44</f>
        <v>#N/A</v>
      </c>
      <c r="R44" s="161" t="e">
        <f>R43*I44</f>
        <v>#N/A</v>
      </c>
      <c r="S44" s="162"/>
      <c r="T44" s="152"/>
      <c r="V44" s="188" t="s">
        <v>202</v>
      </c>
      <c r="W44" s="727" t="s">
        <v>466</v>
      </c>
      <c r="X44" s="727"/>
      <c r="Y44" s="727"/>
      <c r="Z44" s="220">
        <v>21</v>
      </c>
      <c r="AA44" s="620" t="str">
        <f>Church!B41</f>
        <v>State Center - First</v>
      </c>
    </row>
    <row r="45" spans="1:27" ht="11.25" customHeight="1" thickBot="1" x14ac:dyDescent="0.25">
      <c r="D45" s="444"/>
      <c r="E45" s="152"/>
      <c r="F45" s="152"/>
      <c r="G45" s="170"/>
      <c r="H45" s="170"/>
      <c r="I45" s="152"/>
      <c r="J45" s="152"/>
      <c r="K45" s="152"/>
      <c r="L45" s="152"/>
      <c r="M45" s="152"/>
      <c r="N45" s="152"/>
      <c r="O45" s="152"/>
      <c r="P45" s="152"/>
      <c r="Q45" s="152"/>
      <c r="R45" s="152"/>
      <c r="S45" s="152"/>
      <c r="T45" s="152"/>
      <c r="U45" s="103"/>
      <c r="V45" s="299" t="s">
        <v>460</v>
      </c>
      <c r="W45" s="727" t="s">
        <v>454</v>
      </c>
      <c r="X45" s="727"/>
      <c r="Y45" s="727"/>
      <c r="Z45" s="220">
        <v>10</v>
      </c>
      <c r="AA45" s="620" t="str">
        <f>Church!B42</f>
        <v>Steamboat Rock - First</v>
      </c>
    </row>
    <row r="46" spans="1:27" ht="11.25" customHeight="1" x14ac:dyDescent="0.2">
      <c r="D46" s="444"/>
      <c r="E46" s="152"/>
      <c r="F46" s="152"/>
      <c r="G46" s="152"/>
      <c r="H46" s="152"/>
      <c r="I46" s="152"/>
      <c r="J46" s="152"/>
      <c r="K46" s="152"/>
      <c r="L46" s="152"/>
      <c r="M46" s="152"/>
      <c r="N46" s="152"/>
      <c r="O46" s="152"/>
      <c r="P46" s="152"/>
      <c r="Q46" s="736" t="s">
        <v>324</v>
      </c>
      <c r="R46" s="737"/>
      <c r="S46" s="738"/>
      <c r="T46" s="152"/>
      <c r="V46" s="188" t="s">
        <v>297</v>
      </c>
      <c r="W46" s="727" t="s">
        <v>467</v>
      </c>
      <c r="X46" s="727"/>
      <c r="Y46" s="727"/>
      <c r="Z46" s="220">
        <v>21</v>
      </c>
      <c r="AA46" s="620" t="str">
        <f>Church!B43</f>
        <v>Toledo - First</v>
      </c>
    </row>
    <row r="47" spans="1:27" ht="16.5" thickBot="1" x14ac:dyDescent="0.3">
      <c r="D47" s="444"/>
      <c r="E47" s="172" t="s">
        <v>344</v>
      </c>
      <c r="F47" s="152"/>
      <c r="G47" s="152"/>
      <c r="H47" s="152"/>
      <c r="I47" s="152"/>
      <c r="J47" s="152"/>
      <c r="K47" s="152"/>
      <c r="L47" s="152"/>
      <c r="M47" s="152"/>
      <c r="N47" s="152"/>
      <c r="O47" s="170"/>
      <c r="P47" s="170"/>
      <c r="Q47" s="139" t="str">
        <f>PRES_ACRON</f>
        <v>NCIP</v>
      </c>
      <c r="R47" s="221" t="s">
        <v>5</v>
      </c>
      <c r="S47" s="222"/>
      <c r="T47" s="152"/>
      <c r="V47" s="188" t="s">
        <v>296</v>
      </c>
      <c r="W47" s="727" t="s">
        <v>298</v>
      </c>
      <c r="X47" s="727"/>
      <c r="Y47" s="727"/>
      <c r="Z47" s="220">
        <v>23</v>
      </c>
      <c r="AA47" s="620" t="str">
        <f>Church!B44</f>
        <v>Traer - United</v>
      </c>
    </row>
    <row r="48" spans="1:27" ht="11.25" customHeight="1" x14ac:dyDescent="0.2">
      <c r="A48">
        <v>2</v>
      </c>
      <c r="B48" s="142">
        <f>IF(ISBLANK(I48),1,0)</f>
        <v>1</v>
      </c>
      <c r="D48" s="176" t="s">
        <v>657</v>
      </c>
      <c r="E48" s="109"/>
      <c r="F48" s="99" t="s">
        <v>1</v>
      </c>
      <c r="G48" s="100"/>
      <c r="H48" s="100"/>
      <c r="I48" s="676"/>
      <c r="J48" s="676"/>
      <c r="K48" s="676"/>
      <c r="L48" s="100"/>
      <c r="M48" s="100"/>
      <c r="N48" s="100"/>
      <c r="O48" s="100"/>
      <c r="P48" s="100"/>
      <c r="Q48" s="132">
        <f>I48</f>
        <v>0</v>
      </c>
      <c r="R48" s="235">
        <f>I48</f>
        <v>0</v>
      </c>
      <c r="S48" s="201"/>
      <c r="T48" s="152"/>
      <c r="Y48" s="111" t="s">
        <v>840</v>
      </c>
      <c r="Z48" s="622" t="e">
        <f>VLOOKUP(P_CLASS,V41:Z47,5,FALSE)</f>
        <v>#N/A</v>
      </c>
      <c r="AA48" s="620" t="str">
        <f>Church!B45</f>
        <v>Washburn - St. Paul's</v>
      </c>
    </row>
    <row r="49" spans="1:27" ht="11.25" customHeight="1" x14ac:dyDescent="0.2">
      <c r="D49" s="444"/>
      <c r="E49" s="102"/>
      <c r="F49" s="6" t="s">
        <v>480</v>
      </c>
      <c r="I49" s="143"/>
      <c r="J49" s="131"/>
      <c r="K49" s="131"/>
      <c r="O49" s="103"/>
      <c r="Q49" s="132"/>
      <c r="R49" s="231"/>
      <c r="S49" s="133"/>
      <c r="T49" s="152"/>
      <c r="U49" s="374" t="s">
        <v>567</v>
      </c>
      <c r="Y49" s="111"/>
      <c r="Z49" s="7"/>
      <c r="AA49" s="620" t="str">
        <f>Church!B46</f>
        <v>Waterloo - Barclay</v>
      </c>
    </row>
    <row r="50" spans="1:27" ht="13.5" hidden="1" customHeight="1" x14ac:dyDescent="0.2">
      <c r="A50" s="359"/>
      <c r="B50" s="359"/>
      <c r="C50" s="376"/>
      <c r="D50" s="376"/>
      <c r="E50" s="360"/>
      <c r="F50" s="404"/>
      <c r="G50" s="359"/>
      <c r="H50" s="359"/>
      <c r="I50" s="355"/>
      <c r="J50" s="404" t="s">
        <v>613</v>
      </c>
      <c r="K50" s="355"/>
      <c r="L50" s="355"/>
      <c r="M50" s="355"/>
      <c r="N50" s="359"/>
      <c r="O50" s="359"/>
      <c r="P50" s="359"/>
      <c r="Q50" s="406"/>
      <c r="R50" s="407"/>
      <c r="S50" s="408"/>
      <c r="T50" s="359"/>
      <c r="U50" s="376" t="s">
        <v>607</v>
      </c>
      <c r="Y50" s="111"/>
      <c r="Z50" s="7"/>
      <c r="AA50" s="620" t="str">
        <f>Church!B47</f>
        <v>Waterloo - First</v>
      </c>
    </row>
    <row r="51" spans="1:27" ht="12.75" hidden="1" x14ac:dyDescent="0.2">
      <c r="A51" s="359"/>
      <c r="B51" s="359"/>
      <c r="C51" s="376"/>
      <c r="D51" s="376"/>
      <c r="E51" s="360"/>
      <c r="F51" s="404"/>
      <c r="G51" s="359"/>
      <c r="H51" s="359"/>
      <c r="I51" s="378" t="s">
        <v>744</v>
      </c>
      <c r="J51" s="355"/>
      <c r="K51" s="355" t="s">
        <v>614</v>
      </c>
      <c r="L51" s="355"/>
      <c r="M51" s="359"/>
      <c r="N51" s="359"/>
      <c r="O51" s="359"/>
      <c r="P51" s="359"/>
      <c r="Q51" s="406"/>
      <c r="R51" s="407"/>
      <c r="S51" s="408"/>
      <c r="T51" s="359"/>
      <c r="U51" s="376" t="s">
        <v>607</v>
      </c>
      <c r="V51" s="87"/>
      <c r="W51" s="134"/>
      <c r="AA51" s="620" t="str">
        <f>Church!B48</f>
        <v>Waterloo - Unity</v>
      </c>
    </row>
    <row r="52" spans="1:27" ht="12.75" hidden="1" x14ac:dyDescent="0.2">
      <c r="A52" s="359"/>
      <c r="B52" s="359"/>
      <c r="C52" s="376"/>
      <c r="D52" s="376"/>
      <c r="E52" s="360"/>
      <c r="F52" s="404"/>
      <c r="G52" s="359"/>
      <c r="H52" s="359"/>
      <c r="I52" s="378" t="s">
        <v>745</v>
      </c>
      <c r="J52" s="355"/>
      <c r="K52" s="355" t="s">
        <v>746</v>
      </c>
      <c r="L52" s="355"/>
      <c r="M52" s="359"/>
      <c r="N52" s="359"/>
      <c r="O52" s="359"/>
      <c r="P52" s="359"/>
      <c r="Q52" s="406"/>
      <c r="R52" s="407"/>
      <c r="S52" s="408"/>
      <c r="T52" s="359"/>
      <c r="U52" s="376" t="s">
        <v>607</v>
      </c>
      <c r="V52" s="87"/>
      <c r="W52" s="134"/>
      <c r="AA52" s="620" t="str">
        <f>Church!B49</f>
        <v>Waterloo - Westminster</v>
      </c>
    </row>
    <row r="53" spans="1:27" ht="11.25" customHeight="1" x14ac:dyDescent="0.2">
      <c r="A53" s="142">
        <f>IF(E_STATUS="O",0,2)</f>
        <v>2</v>
      </c>
      <c r="B53" s="142">
        <f>IF(ISBLANK(I53),IF(A53=2,1,0),IF(A53=0,2,0))</f>
        <v>1</v>
      </c>
      <c r="C53" s="480" t="b">
        <f>I53="Yes"</f>
        <v>0</v>
      </c>
      <c r="D53" s="176" t="s">
        <v>658</v>
      </c>
      <c r="E53" s="102"/>
      <c r="F53" s="103"/>
      <c r="G53" t="s">
        <v>268</v>
      </c>
      <c r="I53" s="224"/>
      <c r="K53" s="103" t="str">
        <f>IF(B53=1,"◄ Yes or No",IF(B53=2,"◄ Clear this entry",VLOOKUP(I53,I51:L52,3,FALSE)))</f>
        <v>◄ Yes or No</v>
      </c>
      <c r="M53" s="103"/>
      <c r="Q53" s="132"/>
      <c r="R53" s="132"/>
      <c r="S53" s="133"/>
      <c r="T53" s="152"/>
      <c r="U53" s="374" t="s">
        <v>568</v>
      </c>
      <c r="V53" s="87"/>
      <c r="W53" s="134"/>
      <c r="AA53" s="620" t="str">
        <f>Church!B50</f>
        <v>Woden - First</v>
      </c>
    </row>
    <row r="54" spans="1:27" ht="11.25" customHeight="1" x14ac:dyDescent="0.2">
      <c r="A54" s="142">
        <f>IF(E_STATUS="O",0,2)</f>
        <v>2</v>
      </c>
      <c r="B54" s="142">
        <f>IF(ISBLANK(I54),IF(A54=2,1,0),IF(A54=0,2,0))</f>
        <v>1</v>
      </c>
      <c r="D54" s="176" t="s">
        <v>659</v>
      </c>
      <c r="E54" s="102"/>
      <c r="F54" s="103"/>
      <c r="G54" s="103" t="str">
        <f>IF(MANSE,"Fair Rental Value","Housing Allowance")</f>
        <v>Housing Allowance</v>
      </c>
      <c r="H54" s="103"/>
      <c r="I54" s="674"/>
      <c r="J54" s="674"/>
      <c r="K54" s="674"/>
      <c r="M54" s="103" t="str">
        <f>IF(MANSE,"BOP Manse Value ≥ 30% of all other Eff.Salary","")</f>
        <v/>
      </c>
      <c r="Q54" s="132">
        <f>I54</f>
        <v>0</v>
      </c>
      <c r="R54" s="158">
        <f>IF(MANSE,ROUND(MAX(0.3*(CplusH-Q54+Q68+Q60),I54),2),I54)</f>
        <v>0</v>
      </c>
      <c r="S54" s="159"/>
      <c r="T54" s="152"/>
      <c r="AA54" s="620" t="str">
        <f>Church!B51</f>
        <v>Other - Not Found</v>
      </c>
    </row>
    <row r="55" spans="1:27" ht="11.25" customHeight="1" x14ac:dyDescent="0.2">
      <c r="A55" s="142">
        <f>IF(MANSE,2,0)</f>
        <v>0</v>
      </c>
      <c r="B55" s="142">
        <f>IF(ISBLANK(I55),IF(A55=1,1,0),IF(A55=0,2,0))</f>
        <v>0</v>
      </c>
      <c r="D55" s="176" t="s">
        <v>660</v>
      </c>
      <c r="E55" s="102"/>
      <c r="F55" s="103"/>
      <c r="G55" s="103" t="s">
        <v>2</v>
      </c>
      <c r="H55" s="103"/>
      <c r="I55" s="674"/>
      <c r="J55" s="674"/>
      <c r="K55" s="674"/>
      <c r="L55" s="103" t="str">
        <f>IF(B55=2,"◄ Clear this entry","")</f>
        <v/>
      </c>
      <c r="Q55" s="132">
        <f>I55</f>
        <v>0</v>
      </c>
      <c r="R55" s="132">
        <f>I55</f>
        <v>0</v>
      </c>
      <c r="S55" s="133"/>
      <c r="T55" s="152"/>
      <c r="V55" s="693" t="s">
        <v>337</v>
      </c>
      <c r="W55" s="694"/>
      <c r="AA55" s="620" t="str">
        <f>Church!B52</f>
        <v>Added - 1</v>
      </c>
    </row>
    <row r="56" spans="1:27" ht="11.25" customHeight="1" x14ac:dyDescent="0.2">
      <c r="A56" s="142">
        <f>IF(MANSE,2,0)</f>
        <v>0</v>
      </c>
      <c r="B56" s="142">
        <f>IF(ISBLANK(I56),IF(A56=1,1,0),IF(A56=0,2,0))</f>
        <v>0</v>
      </c>
      <c r="D56" s="176" t="s">
        <v>661</v>
      </c>
      <c r="E56" s="102"/>
      <c r="F56" s="103"/>
      <c r="G56" s="103" t="s">
        <v>3</v>
      </c>
      <c r="H56" s="103"/>
      <c r="I56" s="674"/>
      <c r="J56" s="674"/>
      <c r="K56" s="674"/>
      <c r="L56" s="103" t="str">
        <f>IF(B56=2,"◄ Clear this entry","")</f>
        <v/>
      </c>
      <c r="Q56" s="132">
        <f>I56</f>
        <v>0</v>
      </c>
      <c r="R56" s="132">
        <f>I56</f>
        <v>0</v>
      </c>
      <c r="S56" s="133"/>
      <c r="T56" s="152"/>
      <c r="V56" s="188" t="s">
        <v>335</v>
      </c>
      <c r="W56" s="211">
        <f>(CplusH+SECA_ZERO_LOW*SECA_CONTR_RATE)/(1-SECA_CONTR_RATE*SECA_RATE_LOW)</f>
        <v>0</v>
      </c>
      <c r="AA56" s="620" t="str">
        <f>Church!B53</f>
        <v>Added - 2</v>
      </c>
    </row>
    <row r="57" spans="1:27" ht="11.25" customHeight="1" x14ac:dyDescent="0.2">
      <c r="D57" s="444"/>
      <c r="E57" s="102"/>
      <c r="F57" s="6" t="s">
        <v>264</v>
      </c>
      <c r="Q57" s="191">
        <f>SUM(Q48:Q56)</f>
        <v>0</v>
      </c>
      <c r="R57" s="191">
        <f>SUM(R48:R56)</f>
        <v>0</v>
      </c>
      <c r="S57" s="202"/>
      <c r="T57" s="152"/>
      <c r="V57" s="188" t="s">
        <v>338</v>
      </c>
      <c r="W57" s="211">
        <f>(CplusH+SECA_ZERO_HI*SECA_CONTR_RATE)/(1-SECA_RATE_HI*SECA_CONTR_RATE)</f>
        <v>0</v>
      </c>
      <c r="AA57" s="620" t="str">
        <f>Church!B54</f>
        <v>Added - 3</v>
      </c>
    </row>
    <row r="58" spans="1:27" ht="11.25" customHeight="1" thickBot="1" x14ac:dyDescent="0.25">
      <c r="D58" s="444"/>
      <c r="E58" s="102"/>
      <c r="F58" s="6" t="s">
        <v>33</v>
      </c>
      <c r="M58" s="111"/>
      <c r="N58" s="111" t="s">
        <v>363</v>
      </c>
      <c r="O58" s="134">
        <f>ROUND(MIN(SECA_B_LO,SECA_B_HI),2)</f>
        <v>0</v>
      </c>
      <c r="P58" s="103"/>
      <c r="Q58" s="134"/>
      <c r="R58" s="134"/>
      <c r="S58" s="135"/>
      <c r="T58" s="152"/>
      <c r="V58" s="693" t="s">
        <v>339</v>
      </c>
      <c r="W58" s="694"/>
      <c r="AA58" s="621" t="str">
        <f>Church!B55</f>
        <v>Added - 4</v>
      </c>
    </row>
    <row r="59" spans="1:27" ht="11.25" customHeight="1" x14ac:dyDescent="0.2">
      <c r="D59" s="444"/>
      <c r="E59" s="102"/>
      <c r="F59" s="103"/>
      <c r="G59" s="103" t="str">
        <f>IF(I60="E","EXEMPT","SECA Tax")</f>
        <v>SECA Tax</v>
      </c>
      <c r="H59" s="103"/>
      <c r="K59" s="431" t="s">
        <v>640</v>
      </c>
      <c r="L59" s="111"/>
      <c r="M59" s="103" t="s">
        <v>138</v>
      </c>
      <c r="O59" s="134">
        <f>ROUND(MIN(SECA_TAX_LO,SECA_TAX_HI),2)</f>
        <v>0</v>
      </c>
      <c r="Q59" s="158"/>
      <c r="R59" s="158"/>
      <c r="S59" s="159"/>
      <c r="T59" s="152"/>
      <c r="V59" s="188" t="s">
        <v>335</v>
      </c>
      <c r="W59" s="212">
        <f>SECA_BASE*SECA_RATE_LOW+SECA_ZERO_LOW</f>
        <v>0</v>
      </c>
    </row>
    <row r="60" spans="1:27" ht="11.25" customHeight="1" x14ac:dyDescent="0.2">
      <c r="A60">
        <v>2</v>
      </c>
      <c r="B60" s="142">
        <f>IF(ISBLANK(I60),1,0)</f>
        <v>1</v>
      </c>
      <c r="C60" s="96">
        <f>IF(I60="E",0,I60)</f>
        <v>0</v>
      </c>
      <c r="D60" s="176" t="s">
        <v>662</v>
      </c>
      <c r="E60" s="102"/>
      <c r="F60" s="103"/>
      <c r="G60" s="103" t="s">
        <v>147</v>
      </c>
      <c r="H60" s="103"/>
      <c r="I60" s="463"/>
      <c r="J60" s="160"/>
      <c r="K60" s="103" t="s">
        <v>336</v>
      </c>
      <c r="M60" s="103" t="s">
        <v>147</v>
      </c>
      <c r="O60" s="158">
        <f>ROUND(O59*SECA_CONTR_RATE,2)</f>
        <v>0</v>
      </c>
      <c r="Q60" s="215">
        <f>O60</f>
        <v>0</v>
      </c>
      <c r="R60" s="158">
        <f>MAX(O60-ROUND(O59*0.5,2),0)</f>
        <v>0</v>
      </c>
      <c r="S60" s="159"/>
      <c r="T60" s="152"/>
      <c r="V60" s="188" t="s">
        <v>338</v>
      </c>
      <c r="W60" s="212">
        <f>SECA_BASE*SECA_RATE_HI+SECA_ZERO_HI</f>
        <v>12648</v>
      </c>
    </row>
    <row r="61" spans="1:27" ht="11.25" customHeight="1" x14ac:dyDescent="0.2">
      <c r="D61" s="444"/>
      <c r="E61" s="102"/>
      <c r="F61" s="6" t="s">
        <v>260</v>
      </c>
      <c r="S61" s="104"/>
      <c r="T61" s="152"/>
      <c r="V61" s="87"/>
      <c r="W61" s="134"/>
    </row>
    <row r="62" spans="1:27" ht="11.25" customHeight="1" x14ac:dyDescent="0.2">
      <c r="A62">
        <v>1</v>
      </c>
      <c r="D62" s="176" t="s">
        <v>663</v>
      </c>
      <c r="E62" s="102"/>
      <c r="G62" s="103" t="s">
        <v>469</v>
      </c>
      <c r="H62" s="103"/>
      <c r="I62" s="674"/>
      <c r="J62" s="674"/>
      <c r="K62" s="674"/>
      <c r="L62" s="103" t="s">
        <v>641</v>
      </c>
      <c r="M62" s="103"/>
      <c r="Q62" s="132">
        <f>RSP_5</f>
        <v>0</v>
      </c>
      <c r="R62" s="132"/>
      <c r="S62" s="104"/>
      <c r="T62" s="152"/>
      <c r="V62" s="87"/>
    </row>
    <row r="63" spans="1:27" ht="11.25" customHeight="1" x14ac:dyDescent="0.2">
      <c r="A63">
        <v>1</v>
      </c>
      <c r="D63" s="176" t="s">
        <v>607</v>
      </c>
      <c r="E63" s="102"/>
      <c r="G63" s="103" t="s">
        <v>468</v>
      </c>
      <c r="H63" s="103"/>
      <c r="I63" s="674"/>
      <c r="J63" s="674"/>
      <c r="K63" s="674"/>
      <c r="L63" s="103" t="s">
        <v>470</v>
      </c>
      <c r="Q63" s="132">
        <f>I63</f>
        <v>0</v>
      </c>
      <c r="R63" s="132">
        <f>I63</f>
        <v>0</v>
      </c>
      <c r="S63" s="133"/>
      <c r="T63" s="152"/>
      <c r="V63" s="87"/>
      <c r="W63" s="134"/>
    </row>
    <row r="64" spans="1:27" ht="11.25" customHeight="1" thickBot="1" x14ac:dyDescent="0.25">
      <c r="A64">
        <v>1</v>
      </c>
      <c r="D64" s="176" t="s">
        <v>664</v>
      </c>
      <c r="E64" s="102"/>
      <c r="G64" s="103" t="s">
        <v>261</v>
      </c>
      <c r="H64" s="103"/>
      <c r="I64" s="674"/>
      <c r="J64" s="674"/>
      <c r="K64" s="674"/>
      <c r="Q64" s="132">
        <f>I64</f>
        <v>0</v>
      </c>
      <c r="R64" s="132">
        <f>I64</f>
        <v>0</v>
      </c>
      <c r="S64" s="133"/>
      <c r="T64" s="152"/>
      <c r="V64" s="87"/>
      <c r="W64" s="134"/>
    </row>
    <row r="65" spans="1:27" ht="11.25" customHeight="1" x14ac:dyDescent="0.2">
      <c r="A65">
        <v>1</v>
      </c>
      <c r="D65" s="176" t="s">
        <v>665</v>
      </c>
      <c r="E65" s="102"/>
      <c r="G65" s="103" t="s">
        <v>262</v>
      </c>
      <c r="H65" s="103"/>
      <c r="I65" s="674"/>
      <c r="J65" s="674"/>
      <c r="K65" s="674"/>
      <c r="Q65" s="132">
        <f>I65</f>
        <v>0</v>
      </c>
      <c r="R65" s="132"/>
      <c r="S65" s="133"/>
      <c r="T65" s="152"/>
      <c r="V65" s="717" t="s">
        <v>842</v>
      </c>
      <c r="W65" s="718"/>
    </row>
    <row r="66" spans="1:27" ht="11.25" customHeight="1" x14ac:dyDescent="0.2">
      <c r="A66" s="142">
        <f>IF(MANSE,1,0)</f>
        <v>0</v>
      </c>
      <c r="B66" s="142">
        <f>IF(ISBLANK(I66),0,IF(A66=0,2,0))</f>
        <v>0</v>
      </c>
      <c r="D66" s="176" t="s">
        <v>666</v>
      </c>
      <c r="E66" s="102"/>
      <c r="G66" s="103" t="s">
        <v>263</v>
      </c>
      <c r="H66" s="103"/>
      <c r="I66" s="674"/>
      <c r="J66" s="674"/>
      <c r="K66" s="674"/>
      <c r="L66" s="103" t="str">
        <f>IF(B66=2,"◄ Clear this entry","")</f>
        <v/>
      </c>
      <c r="M66" s="103"/>
      <c r="N66" s="103" t="s">
        <v>372</v>
      </c>
      <c r="Q66" s="132">
        <f>I66</f>
        <v>0</v>
      </c>
      <c r="R66" s="132">
        <f>I66</f>
        <v>0</v>
      </c>
      <c r="S66" s="133"/>
      <c r="T66" s="152"/>
      <c r="V66" s="589" t="s">
        <v>271</v>
      </c>
      <c r="W66" s="605" t="s">
        <v>423</v>
      </c>
    </row>
    <row r="67" spans="1:27" ht="11.25" customHeight="1" x14ac:dyDescent="0.2">
      <c r="A67">
        <v>1</v>
      </c>
      <c r="D67" s="176" t="s">
        <v>667</v>
      </c>
      <c r="E67" s="102"/>
      <c r="G67" s="103" t="s">
        <v>371</v>
      </c>
      <c r="H67" s="103"/>
      <c r="I67" s="674"/>
      <c r="J67" s="674"/>
      <c r="K67" s="674"/>
      <c r="Q67" s="132">
        <f>I67</f>
        <v>0</v>
      </c>
      <c r="R67" s="132">
        <f>I67</f>
        <v>0</v>
      </c>
      <c r="S67" s="133"/>
      <c r="T67" s="152"/>
      <c r="V67" s="589" t="s">
        <v>283</v>
      </c>
      <c r="W67" s="605" t="s">
        <v>289</v>
      </c>
    </row>
    <row r="68" spans="1:27" ht="11.25" customHeight="1" thickBot="1" x14ac:dyDescent="0.25">
      <c r="D68" s="444"/>
      <c r="E68" s="102"/>
      <c r="F68" s="6" t="s">
        <v>265</v>
      </c>
      <c r="Q68" s="191">
        <f>SUM(Q62:Q67)</f>
        <v>0</v>
      </c>
      <c r="R68" s="134">
        <f>SUM(R62:R67)</f>
        <v>0</v>
      </c>
      <c r="S68" s="135"/>
      <c r="T68" s="152"/>
      <c r="V68" s="589" t="s">
        <v>199</v>
      </c>
      <c r="W68" s="605" t="s">
        <v>728</v>
      </c>
    </row>
    <row r="69" spans="1:27" ht="11.25" customHeight="1" thickBot="1" x14ac:dyDescent="0.25">
      <c r="A69">
        <v>4</v>
      </c>
      <c r="D69" s="444" t="s">
        <v>668</v>
      </c>
      <c r="E69" s="102"/>
      <c r="F69" s="6" t="s">
        <v>266</v>
      </c>
      <c r="G69" s="6"/>
      <c r="H69" s="6"/>
      <c r="P69" s="214" t="s">
        <v>340</v>
      </c>
      <c r="Q69" s="213">
        <f>SUM(Q68,Q57,Q60)</f>
        <v>0</v>
      </c>
      <c r="R69" s="134">
        <f>SUM(R68,R57,R60)</f>
        <v>0</v>
      </c>
      <c r="S69" s="135"/>
      <c r="T69" s="152"/>
      <c r="V69" s="589" t="s">
        <v>278</v>
      </c>
      <c r="W69" s="629" t="s">
        <v>832</v>
      </c>
    </row>
    <row r="70" spans="1:27" ht="11.25" customHeight="1" thickBot="1" x14ac:dyDescent="0.25">
      <c r="A70">
        <v>4</v>
      </c>
      <c r="B70" s="226" t="e">
        <f>IF(EFFECTIVE_SALARY&lt;MIN_SALARY,IF(P41="Required",4,0),0)</f>
        <v>#N/A</v>
      </c>
      <c r="D70" s="444"/>
      <c r="E70" s="105"/>
      <c r="F70" s="136"/>
      <c r="G70" s="765" t="s">
        <v>580</v>
      </c>
      <c r="H70" s="765"/>
      <c r="I70" s="765"/>
      <c r="J70" s="765"/>
      <c r="K70" s="765"/>
      <c r="L70" s="136"/>
      <c r="M70" s="136"/>
      <c r="N70" s="136"/>
      <c r="O70" s="136"/>
      <c r="P70" s="204" t="e">
        <f>IF(P_CLASS="SO","No guidelines apply to this position",CONCATENATE("This ",IF(EFFECTIVE_SALARY&lt;MIN_SALARY,"is LESS THAN ","meets ")," the ",P41," Minimum of "))</f>
        <v>#N/A</v>
      </c>
      <c r="Q70" s="137" t="e">
        <f>P44</f>
        <v>#N/A</v>
      </c>
      <c r="R70" s="137"/>
      <c r="S70" s="138"/>
      <c r="T70" s="152"/>
      <c r="V70" s="592" t="s">
        <v>273</v>
      </c>
      <c r="W70" s="630" t="s">
        <v>786</v>
      </c>
    </row>
    <row r="71" spans="1:27" ht="11.25" customHeight="1" thickBot="1" x14ac:dyDescent="0.25">
      <c r="A71" s="434" t="s">
        <v>644</v>
      </c>
      <c r="B71" s="435"/>
      <c r="C71" s="435"/>
      <c r="D71" s="444"/>
      <c r="E71" s="152"/>
      <c r="F71" s="154"/>
      <c r="G71" s="154"/>
      <c r="H71" s="154"/>
      <c r="I71" s="154"/>
      <c r="J71" s="154"/>
      <c r="K71" s="154"/>
      <c r="L71" s="154"/>
      <c r="M71" s="227"/>
      <c r="N71" s="228"/>
      <c r="O71" s="227"/>
      <c r="P71" s="227"/>
      <c r="Q71" s="177"/>
      <c r="R71" s="177"/>
      <c r="S71" s="177"/>
      <c r="T71" s="152"/>
      <c r="V71" s="87"/>
      <c r="W71" s="103"/>
    </row>
    <row r="72" spans="1:27" ht="16.5" thickBot="1" x14ac:dyDescent="0.3">
      <c r="A72" s="436" t="s">
        <v>645</v>
      </c>
      <c r="B72" s="437"/>
      <c r="C72" s="473"/>
      <c r="D72" s="464" t="str">
        <f>IF(ISBLANK(C72),"","◄")</f>
        <v/>
      </c>
      <c r="E72" s="172" t="s">
        <v>494</v>
      </c>
      <c r="F72" s="154"/>
      <c r="G72" s="154"/>
      <c r="H72" s="154"/>
      <c r="I72" s="152"/>
      <c r="J72" s="152"/>
      <c r="K72" s="152"/>
      <c r="L72" s="152"/>
      <c r="M72" s="152"/>
      <c r="N72" s="152"/>
      <c r="O72" s="152"/>
      <c r="P72" s="152"/>
      <c r="Q72" s="152"/>
      <c r="R72" s="152"/>
      <c r="S72" s="152"/>
      <c r="T72" s="152"/>
      <c r="U72" s="103"/>
      <c r="V72" s="734" t="s">
        <v>354</v>
      </c>
      <c r="W72" s="735"/>
    </row>
    <row r="73" spans="1:27" ht="11.25" customHeight="1" x14ac:dyDescent="0.2">
      <c r="B73" s="226">
        <f>IF(C73=0,1,0)</f>
        <v>1</v>
      </c>
      <c r="C73" s="628">
        <f>IF(ISBLANK(C72),IF(B14+B34+B35&gt;0,0,IF(I_STATUS,1,IF(E_STATUS="R","R",IF(E_STATUS="M",IF(HR_PER_WK&gt;=20,2,3),IF(HR_PER_WK&gt;=20,4,5))))),C72)</f>
        <v>0</v>
      </c>
      <c r="D73" s="444"/>
      <c r="E73" s="97"/>
      <c r="F73" s="697" t="s">
        <v>346</v>
      </c>
      <c r="G73" s="697"/>
      <c r="H73" s="697"/>
      <c r="I73" s="697"/>
      <c r="J73" s="697" t="str">
        <f>VLOOKUP(BEN_GROUP,BEN_TABLE,2,FALSE)</f>
        <v>Complete secttions 1 thru 5 before proceeding.</v>
      </c>
      <c r="K73" s="697"/>
      <c r="L73" s="697"/>
      <c r="M73" s="697"/>
      <c r="N73" s="697"/>
      <c r="O73" s="697"/>
      <c r="P73" s="100"/>
      <c r="Q73" s="194" t="s">
        <v>366</v>
      </c>
      <c r="R73" s="230">
        <f>BOP_EFF_SAL</f>
        <v>0</v>
      </c>
      <c r="S73" s="229"/>
      <c r="T73" s="152"/>
      <c r="U73" s="103"/>
      <c r="V73" s="409" t="s">
        <v>274</v>
      </c>
      <c r="W73" s="410" t="s">
        <v>355</v>
      </c>
    </row>
    <row r="74" spans="1:27" ht="11.25" customHeight="1" thickBot="1" x14ac:dyDescent="0.25">
      <c r="D74" s="444"/>
      <c r="E74" s="144"/>
      <c r="F74" s="6" t="s">
        <v>495</v>
      </c>
      <c r="G74" s="6"/>
      <c r="H74" s="6"/>
      <c r="I74" s="87"/>
      <c r="K74" s="103"/>
      <c r="S74" s="104"/>
      <c r="T74" s="152"/>
      <c r="U74" s="374" t="s">
        <v>567</v>
      </c>
      <c r="V74" s="411" t="s">
        <v>269</v>
      </c>
      <c r="W74" s="412" t="s">
        <v>345</v>
      </c>
    </row>
    <row r="75" spans="1:27" ht="12.75" hidden="1" x14ac:dyDescent="0.2">
      <c r="A75" s="359"/>
      <c r="B75" s="359"/>
      <c r="C75" s="376"/>
      <c r="D75" s="376"/>
      <c r="E75" s="360"/>
      <c r="F75" s="404"/>
      <c r="G75" s="359"/>
      <c r="H75" s="359"/>
      <c r="I75" s="355"/>
      <c r="J75" s="404" t="s">
        <v>762</v>
      </c>
      <c r="K75" s="355"/>
      <c r="L75" s="355"/>
      <c r="M75" s="405"/>
      <c r="N75" s="359"/>
      <c r="O75" s="359"/>
      <c r="P75" s="359"/>
      <c r="Q75" s="476"/>
      <c r="R75" s="477"/>
      <c r="S75" s="478"/>
      <c r="T75" s="359"/>
      <c r="U75" s="376" t="s">
        <v>607</v>
      </c>
      <c r="V75" s="709" t="s">
        <v>836</v>
      </c>
      <c r="W75" s="710"/>
      <c r="X75" s="711"/>
      <c r="Y75" s="304" t="s">
        <v>358</v>
      </c>
      <c r="Z75" s="305" t="s">
        <v>361</v>
      </c>
      <c r="AA75" s="306"/>
    </row>
    <row r="76" spans="1:27" ht="12.75" hidden="1" x14ac:dyDescent="0.2">
      <c r="A76" s="359"/>
      <c r="B76" s="359"/>
      <c r="C76" s="376"/>
      <c r="D76" s="376"/>
      <c r="E76" s="360"/>
      <c r="F76" s="404"/>
      <c r="G76" s="359"/>
      <c r="H76" s="359"/>
      <c r="I76" s="405" t="s">
        <v>283</v>
      </c>
      <c r="J76" s="355"/>
      <c r="K76" s="355" t="s">
        <v>289</v>
      </c>
      <c r="L76" s="355"/>
      <c r="M76" s="405"/>
      <c r="N76" s="359"/>
      <c r="O76" s="359"/>
      <c r="P76" s="359"/>
      <c r="Q76" s="476"/>
      <c r="R76" s="477"/>
      <c r="S76" s="478"/>
      <c r="T76" s="359"/>
      <c r="U76" s="376" t="s">
        <v>607</v>
      </c>
      <c r="V76" s="589">
        <v>0</v>
      </c>
      <c r="W76" s="595" t="s">
        <v>356</v>
      </c>
      <c r="X76" s="596" t="s">
        <v>349</v>
      </c>
      <c r="Y76" s="597">
        <v>0</v>
      </c>
      <c r="Z76" s="595" t="s">
        <v>10</v>
      </c>
      <c r="AA76" s="598"/>
    </row>
    <row r="77" spans="1:27" ht="12.75" hidden="1" x14ac:dyDescent="0.2">
      <c r="A77" s="359"/>
      <c r="B77" s="359"/>
      <c r="C77" s="376"/>
      <c r="D77" s="376"/>
      <c r="E77" s="360"/>
      <c r="F77" s="404"/>
      <c r="G77" s="359"/>
      <c r="H77" s="359"/>
      <c r="I77" s="405" t="s">
        <v>199</v>
      </c>
      <c r="J77" s="355"/>
      <c r="K77" s="355" t="s">
        <v>728</v>
      </c>
      <c r="L77" s="355"/>
      <c r="M77" s="405"/>
      <c r="N77" s="359"/>
      <c r="O77" s="359"/>
      <c r="P77" s="359"/>
      <c r="Q77" s="476"/>
      <c r="R77" s="477"/>
      <c r="S77" s="478"/>
      <c r="T77" s="359"/>
      <c r="U77" s="376" t="s">
        <v>607</v>
      </c>
      <c r="V77" s="589">
        <v>1</v>
      </c>
      <c r="W77" s="595" t="s">
        <v>455</v>
      </c>
      <c r="X77" s="597" t="s">
        <v>283</v>
      </c>
      <c r="Y77" s="597">
        <v>0</v>
      </c>
      <c r="Z77" s="595" t="s">
        <v>357</v>
      </c>
      <c r="AA77" s="598"/>
    </row>
    <row r="78" spans="1:27" ht="12.75" hidden="1" x14ac:dyDescent="0.2">
      <c r="A78" s="359"/>
      <c r="B78" s="359"/>
      <c r="C78" s="376"/>
      <c r="D78" s="376"/>
      <c r="E78" s="360"/>
      <c r="F78" s="404"/>
      <c r="G78" s="359"/>
      <c r="H78" s="359"/>
      <c r="I78" s="405" t="s">
        <v>278</v>
      </c>
      <c r="J78" s="355"/>
      <c r="K78" s="355" t="s">
        <v>832</v>
      </c>
      <c r="L78" s="355"/>
      <c r="M78" s="405"/>
      <c r="N78" s="359"/>
      <c r="O78" s="359"/>
      <c r="P78" s="359"/>
      <c r="Q78" s="476"/>
      <c r="R78" s="477"/>
      <c r="S78" s="478"/>
      <c r="T78" s="359"/>
      <c r="U78" s="376" t="s">
        <v>607</v>
      </c>
      <c r="V78" s="589" t="s">
        <v>271</v>
      </c>
      <c r="W78" s="595" t="s">
        <v>451</v>
      </c>
      <c r="X78" s="597" t="s">
        <v>271</v>
      </c>
      <c r="Y78" s="597">
        <v>0</v>
      </c>
      <c r="Z78" s="595" t="s">
        <v>424</v>
      </c>
      <c r="AA78" s="598"/>
    </row>
    <row r="79" spans="1:27" ht="11.25" customHeight="1" x14ac:dyDescent="0.2">
      <c r="A79" s="142">
        <f>IF(BEN_GROUP=2,2,0)</f>
        <v>0</v>
      </c>
      <c r="B79" s="142">
        <f>IF(ISBLANK(I79),IF(A79=0,0,1),IF(A79=0,2,0))</f>
        <v>0</v>
      </c>
      <c r="C79" s="628" t="str">
        <f>IF(ISBLANK(I79),VLOOKUP(BEN_GROUP,BEN_TABLE,3,FALSE),I79)</f>
        <v>""</v>
      </c>
      <c r="D79" s="176" t="s">
        <v>657</v>
      </c>
      <c r="E79" s="144"/>
      <c r="F79" s="6"/>
      <c r="G79" s="6" t="s">
        <v>761</v>
      </c>
      <c r="H79" s="6"/>
      <c r="I79" s="224"/>
      <c r="J79" s="6"/>
      <c r="K79" s="6" t="e">
        <f>IF(B79=0,"  "&amp;VLOOKUP(BOP_PGM,BOP_PKG,2,FALSE),IF(B79=1,"  ◄ Enter offered package: Pastor's Participation, Minister's Choice, or Select Benefits.","  ◄ Clear this Entry"))</f>
        <v>#N/A</v>
      </c>
      <c r="S79" s="104"/>
      <c r="T79" s="152"/>
      <c r="U79" s="374" t="s">
        <v>568</v>
      </c>
      <c r="V79" s="589">
        <v>2</v>
      </c>
      <c r="W79" s="595" t="s">
        <v>456</v>
      </c>
      <c r="X79" s="596" t="s">
        <v>349</v>
      </c>
      <c r="Y79" s="596">
        <v>2</v>
      </c>
      <c r="Z79" s="595" t="s">
        <v>733</v>
      </c>
      <c r="AA79" s="598"/>
    </row>
    <row r="80" spans="1:27" ht="11.25" customHeight="1" x14ac:dyDescent="0.2">
      <c r="D80" s="444"/>
      <c r="E80" s="144"/>
      <c r="F80" s="6"/>
      <c r="G80" s="6" t="e">
        <f>VLOOKUP(BOP_PGM,V66:W70,2,FALSE)&amp;" Package Components:"</f>
        <v>#N/A</v>
      </c>
      <c r="H80" s="103"/>
      <c r="I80" s="103"/>
      <c r="J80" s="103"/>
      <c r="K80" s="103"/>
      <c r="N80" s="248" t="s">
        <v>15</v>
      </c>
      <c r="O80" s="248" t="s">
        <v>267</v>
      </c>
      <c r="P80" s="248" t="s">
        <v>314</v>
      </c>
      <c r="Q80" s="248" t="s">
        <v>315</v>
      </c>
      <c r="R80" s="715" t="s">
        <v>368</v>
      </c>
      <c r="S80" s="716"/>
      <c r="T80" s="152"/>
      <c r="U80" s="374" t="s">
        <v>567</v>
      </c>
      <c r="V80" s="589">
        <v>3</v>
      </c>
      <c r="W80" s="595" t="s">
        <v>457</v>
      </c>
      <c r="X80" s="597" t="s">
        <v>273</v>
      </c>
      <c r="Y80" s="596">
        <v>3</v>
      </c>
      <c r="Z80" s="595" t="s">
        <v>737</v>
      </c>
      <c r="AA80" s="598"/>
    </row>
    <row r="81" spans="1:29" ht="12.75" hidden="1" x14ac:dyDescent="0.2">
      <c r="A81" s="359"/>
      <c r="B81" s="359"/>
      <c r="C81" s="359"/>
      <c r="D81" s="376"/>
      <c r="E81" s="403"/>
      <c r="F81" s="404"/>
      <c r="G81" s="404"/>
      <c r="H81" s="355"/>
      <c r="I81" s="405" t="s">
        <v>274</v>
      </c>
      <c r="J81" s="355"/>
      <c r="K81" s="355" t="s">
        <v>355</v>
      </c>
      <c r="L81" s="359"/>
      <c r="M81" s="359"/>
      <c r="N81" s="482"/>
      <c r="O81" s="482"/>
      <c r="P81" s="482"/>
      <c r="Q81" s="482"/>
      <c r="R81" s="482"/>
      <c r="S81" s="483"/>
      <c r="T81" s="359"/>
      <c r="U81" s="376" t="s">
        <v>607</v>
      </c>
      <c r="V81" s="589">
        <v>4</v>
      </c>
      <c r="W81" s="595" t="s">
        <v>319</v>
      </c>
      <c r="X81" s="596" t="s">
        <v>278</v>
      </c>
      <c r="Y81" s="596">
        <v>3</v>
      </c>
      <c r="Z81" s="595" t="s">
        <v>734</v>
      </c>
      <c r="AA81" s="598"/>
    </row>
    <row r="82" spans="1:29" ht="12.75" hidden="1" x14ac:dyDescent="0.2">
      <c r="A82" s="359"/>
      <c r="B82" s="359"/>
      <c r="C82" s="359"/>
      <c r="D82" s="376"/>
      <c r="E82" s="403"/>
      <c r="F82" s="404"/>
      <c r="G82" s="404"/>
      <c r="H82" s="355"/>
      <c r="I82" s="405" t="s">
        <v>269</v>
      </c>
      <c r="J82" s="355"/>
      <c r="K82" s="355" t="s">
        <v>345</v>
      </c>
      <c r="L82" s="359"/>
      <c r="M82" s="359"/>
      <c r="N82" s="405"/>
      <c r="O82" s="484"/>
      <c r="P82" s="484"/>
      <c r="Q82" s="484"/>
      <c r="R82" s="484"/>
      <c r="S82" s="485"/>
      <c r="T82" s="359"/>
      <c r="U82" s="376" t="s">
        <v>607</v>
      </c>
      <c r="V82" s="589">
        <v>5</v>
      </c>
      <c r="W82" s="595" t="s">
        <v>293</v>
      </c>
      <c r="X82" s="597" t="s">
        <v>273</v>
      </c>
      <c r="Y82" s="597">
        <v>0</v>
      </c>
      <c r="Z82" s="595" t="s">
        <v>737</v>
      </c>
      <c r="AA82" s="598"/>
    </row>
    <row r="83" spans="1:29" ht="11.25" customHeight="1" x14ac:dyDescent="0.2">
      <c r="A83" s="142">
        <f>IF(BOP_PGM="S",2,0)</f>
        <v>0</v>
      </c>
      <c r="B83" s="142">
        <f>IF(ISBLANK(I83),IF(A83=0,0,1),IF(A83=0,2,0))</f>
        <v>0</v>
      </c>
      <c r="C83" s="87" t="str">
        <f>IF(ISBLANK(I83),BOP_PGM,I83)</f>
        <v>""</v>
      </c>
      <c r="D83" s="176" t="s">
        <v>658</v>
      </c>
      <c r="E83" s="144"/>
      <c r="F83" s="6"/>
      <c r="G83" s="6"/>
      <c r="H83" s="103" t="s">
        <v>730</v>
      </c>
      <c r="I83" s="224"/>
      <c r="J83" s="225"/>
      <c r="K83" s="103" t="e">
        <f>IF(B83=2,"◄ Clear this Entry",VLOOKUP(C83,DD_TABLE,5,FALSE))</f>
        <v>#N/A</v>
      </c>
      <c r="L83" s="103"/>
      <c r="M83" s="103"/>
      <c r="N83" s="631" t="str">
        <f>IF(OR(BOP_PGM="P",BOP_PGM="M",BOP_PGM="S"),X98,"")</f>
        <v/>
      </c>
      <c r="O83" s="212">
        <f>IF(OR(C83="P",C83="M",C83="S",C83="O"),ROUND(R83*N83,2),0)</f>
        <v>0</v>
      </c>
      <c r="P83" s="212">
        <f t="shared" ref="P83:P88" si="0">O83-Q83</f>
        <v>0</v>
      </c>
      <c r="Q83" s="212">
        <f t="shared" ref="Q83:Q88" si="1">O83</f>
        <v>0</v>
      </c>
      <c r="R83" s="232">
        <f t="shared" ref="R83:R88" si="2">IF(S83="",BOP_EFF_SAL,IF(S83="Min",W98,AA98))</f>
        <v>16200</v>
      </c>
      <c r="S83" s="233" t="str">
        <f t="shared" ref="S83:S88" si="3">IF(BOP_EFF_SAL&lt;W98,"Min",IF(BOP_EFF_SAL&gt;AA98,"Max",""))</f>
        <v>Min</v>
      </c>
      <c r="T83" s="152"/>
      <c r="U83" s="374" t="s">
        <v>568</v>
      </c>
      <c r="V83" s="589" t="s">
        <v>269</v>
      </c>
      <c r="W83" s="595"/>
      <c r="X83" s="597" t="s">
        <v>269</v>
      </c>
      <c r="Y83" s="597">
        <v>0</v>
      </c>
      <c r="Z83" s="595" t="s">
        <v>360</v>
      </c>
      <c r="AA83" s="598"/>
    </row>
    <row r="84" spans="1:29" ht="11.25" customHeight="1" x14ac:dyDescent="0.2">
      <c r="A84" s="142">
        <f>IF(BOP_PGM="S",2,0)</f>
        <v>0</v>
      </c>
      <c r="B84" s="142">
        <f>IF(ISBLANK(I84),IF(A84=0,0,1),IF(A84=0,2,0))</f>
        <v>0</v>
      </c>
      <c r="C84" s="87" t="str">
        <f>IF(ISBLANK(I84),BOP_PGM,I84)</f>
        <v>""</v>
      </c>
      <c r="D84" s="176" t="s">
        <v>659</v>
      </c>
      <c r="E84" s="144"/>
      <c r="F84" s="6"/>
      <c r="G84" s="6"/>
      <c r="H84" s="103" t="s">
        <v>731</v>
      </c>
      <c r="I84" s="224"/>
      <c r="J84" s="225"/>
      <c r="K84" s="103" t="e">
        <f>IF(B84=2,"◄ Clear this Entry",VLOOKUP(C84,DD_TABLE,5,FALSE))</f>
        <v>#N/A</v>
      </c>
      <c r="L84" s="103"/>
      <c r="M84" s="103"/>
      <c r="N84" s="631">
        <f>IF(C83="N",Z99,X99)</f>
        <v>0.01</v>
      </c>
      <c r="O84" s="212">
        <f>IF(OR(C84="P",C84="M",C84="S",C84="O"),ROUND(R84*N84,2),0)</f>
        <v>0</v>
      </c>
      <c r="P84" s="212">
        <f t="shared" si="0"/>
        <v>0</v>
      </c>
      <c r="Q84" s="212">
        <f t="shared" si="1"/>
        <v>0</v>
      </c>
      <c r="R84" s="232">
        <f t="shared" si="2"/>
        <v>16200</v>
      </c>
      <c r="S84" s="233" t="str">
        <f t="shared" si="3"/>
        <v>Min</v>
      </c>
      <c r="T84" s="152"/>
      <c r="V84" s="599" t="s">
        <v>483</v>
      </c>
      <c r="W84" s="600"/>
      <c r="X84" s="601" t="s">
        <v>269</v>
      </c>
      <c r="Y84" s="602">
        <v>0</v>
      </c>
      <c r="Z84" s="595" t="s">
        <v>360</v>
      </c>
      <c r="AA84" s="603"/>
    </row>
    <row r="85" spans="1:29" ht="11.25" customHeight="1" thickBot="1" x14ac:dyDescent="0.25">
      <c r="A85" s="142">
        <f>IF(C84="O",0,IF(BOP_PGM="S",2,0))</f>
        <v>0</v>
      </c>
      <c r="B85" s="142">
        <f>IF(ISBLANK(I85),IF(A85=0,0,1),IF(A85=0,2,0))</f>
        <v>0</v>
      </c>
      <c r="C85" s="87" t="str">
        <f>IF(C84="O","M",IF(ISBLANK(I85),BOP_PGM,I85))</f>
        <v>""</v>
      </c>
      <c r="D85" s="176" t="s">
        <v>660</v>
      </c>
      <c r="E85" s="144"/>
      <c r="F85" s="6"/>
      <c r="G85" s="6"/>
      <c r="H85" s="103" t="s">
        <v>738</v>
      </c>
      <c r="I85" s="224"/>
      <c r="J85" s="225"/>
      <c r="K85" s="103" t="e">
        <f>IF(B85=2,"◄ Clear this Entry",VLOOKUP(C85,DD_TABLE,6,FALSE))</f>
        <v>#N/A</v>
      </c>
      <c r="L85" s="103"/>
      <c r="M85" s="103"/>
      <c r="N85" s="632" t="str">
        <f>IF(BOP_PGM="S",Z100,"")</f>
        <v/>
      </c>
      <c r="O85" s="212">
        <f>IF(C85="O",ROUND(R85*N85,2),0)</f>
        <v>0</v>
      </c>
      <c r="P85" s="212">
        <f t="shared" si="0"/>
        <v>0</v>
      </c>
      <c r="Q85" s="212">
        <f t="shared" si="1"/>
        <v>0</v>
      </c>
      <c r="R85" s="232">
        <f t="shared" si="2"/>
        <v>0</v>
      </c>
      <c r="S85" s="233" t="str">
        <f t="shared" si="3"/>
        <v/>
      </c>
      <c r="T85" s="152"/>
      <c r="V85" s="599" t="s">
        <v>283</v>
      </c>
      <c r="W85" s="600"/>
      <c r="X85" s="601" t="s">
        <v>283</v>
      </c>
      <c r="Y85" s="602">
        <v>0</v>
      </c>
      <c r="Z85" s="600" t="s">
        <v>357</v>
      </c>
      <c r="AA85" s="603"/>
    </row>
    <row r="86" spans="1:29" ht="11.25" customHeight="1" x14ac:dyDescent="0.2">
      <c r="A86" s="142">
        <f>IF(BOP_PGM="S",2,0)</f>
        <v>0</v>
      </c>
      <c r="B86" s="142">
        <f>IF(ISBLANK(I86),IF(A86=0,0,1),IF(A86=0,2,0))</f>
        <v>0</v>
      </c>
      <c r="C86" s="87" t="str">
        <f>IF(ISBLANK(I86),BOP_PGM,I86)</f>
        <v>""</v>
      </c>
      <c r="D86" s="176" t="s">
        <v>661</v>
      </c>
      <c r="E86" s="144"/>
      <c r="F86" s="6"/>
      <c r="G86" s="6"/>
      <c r="H86" s="103" t="s">
        <v>732</v>
      </c>
      <c r="I86" s="224"/>
      <c r="J86" s="225"/>
      <c r="K86" s="103" t="e">
        <f>IF(B86=2,"◄ Clear this Entry",VLOOKUP(C86,DD_TABLE,7,FALSE))</f>
        <v>#N/A</v>
      </c>
      <c r="L86" s="103"/>
      <c r="M86" s="103"/>
      <c r="N86" s="631" t="str">
        <f>IF(OR(BOP_PGM="P",BOP_PGM="M"),X101,IF(BOP_PGM="S",Z101,""))</f>
        <v/>
      </c>
      <c r="O86" s="212">
        <f>IF(OR(C86="P",C86="M",C86="S",C86="C",C86="O"),ROUND(R86*N86,2),0)</f>
        <v>0</v>
      </c>
      <c r="P86" s="212">
        <f>IF(C86="O",O86,0)</f>
        <v>0</v>
      </c>
      <c r="Q86" s="212">
        <f>IF(OR(C86="P",C86="M",C86="C"),O86,0)</f>
        <v>0</v>
      </c>
      <c r="R86" s="232">
        <f t="shared" si="2"/>
        <v>14325</v>
      </c>
      <c r="S86" s="233" t="str">
        <f t="shared" si="3"/>
        <v>Min</v>
      </c>
      <c r="T86" s="152"/>
      <c r="V86" s="354" t="s">
        <v>548</v>
      </c>
      <c r="W86" s="588" t="s">
        <v>837</v>
      </c>
      <c r="X86" s="353"/>
      <c r="Y86" s="304" t="s">
        <v>359</v>
      </c>
      <c r="Z86" s="305" t="s">
        <v>361</v>
      </c>
      <c r="AA86" s="305" t="s">
        <v>742</v>
      </c>
      <c r="AB86" s="310" t="s">
        <v>753</v>
      </c>
    </row>
    <row r="87" spans="1:29" ht="11.25" customHeight="1" x14ac:dyDescent="0.2">
      <c r="A87">
        <v>0</v>
      </c>
      <c r="C87" s="87" t="str">
        <f>BOP_PGM</f>
        <v>""</v>
      </c>
      <c r="D87" s="176"/>
      <c r="E87" s="144"/>
      <c r="F87" s="6"/>
      <c r="G87" s="6"/>
      <c r="H87" s="103" t="s">
        <v>791</v>
      </c>
      <c r="I87" s="6"/>
      <c r="J87" s="111"/>
      <c r="K87" s="103" t="str">
        <f>IF(C87="P","Included - Family","Not available to this group")</f>
        <v>Not available to this group</v>
      </c>
      <c r="L87" s="103"/>
      <c r="M87" s="103"/>
      <c r="N87" s="631" t="str">
        <f>IF(BOP_PGM="P",X102,"")</f>
        <v/>
      </c>
      <c r="O87" s="212">
        <f>IF(BOP_PGM="P",ROUND(R87*N87,2),0)</f>
        <v>0</v>
      </c>
      <c r="P87" s="212">
        <f t="shared" si="0"/>
        <v>0</v>
      </c>
      <c r="Q87" s="212">
        <f t="shared" si="1"/>
        <v>0</v>
      </c>
      <c r="R87" s="232">
        <f t="shared" si="2"/>
        <v>39655.17</v>
      </c>
      <c r="S87" s="233" t="str">
        <f t="shared" si="3"/>
        <v>Min</v>
      </c>
      <c r="T87" s="152"/>
      <c r="V87" s="589">
        <v>0</v>
      </c>
      <c r="W87" s="595" t="s">
        <v>549</v>
      </c>
      <c r="X87" s="596" t="s">
        <v>349</v>
      </c>
      <c r="Y87" s="597">
        <v>0</v>
      </c>
      <c r="Z87" s="595" t="s">
        <v>10</v>
      </c>
      <c r="AA87" s="604"/>
      <c r="AB87" s="598"/>
    </row>
    <row r="88" spans="1:29" ht="11.25" customHeight="1" x14ac:dyDescent="0.2">
      <c r="A88">
        <v>0</v>
      </c>
      <c r="C88" s="87" t="str">
        <f>BOP_PGM</f>
        <v>""</v>
      </c>
      <c r="D88" s="176"/>
      <c r="E88" s="144"/>
      <c r="F88" s="6"/>
      <c r="G88" s="6"/>
      <c r="H88" s="103" t="s">
        <v>741</v>
      </c>
      <c r="I88" s="6"/>
      <c r="J88" s="111"/>
      <c r="K88" s="103" t="str">
        <f>IF(C88="R","Required for Retirees","Not available to this group")</f>
        <v>Not available to this group</v>
      </c>
      <c r="L88" s="103"/>
      <c r="M88" s="103"/>
      <c r="N88" s="631" t="str">
        <f>IF(BOP_PGM="R",X103,"")</f>
        <v/>
      </c>
      <c r="O88" s="212">
        <f>IF(BOP_PGM="R",ROUND(R88*N88,2),0)</f>
        <v>0</v>
      </c>
      <c r="P88" s="212">
        <f t="shared" si="0"/>
        <v>0</v>
      </c>
      <c r="Q88" s="212">
        <f t="shared" si="1"/>
        <v>0</v>
      </c>
      <c r="R88" s="232">
        <f t="shared" si="2"/>
        <v>0</v>
      </c>
      <c r="S88" s="233" t="str">
        <f t="shared" si="3"/>
        <v/>
      </c>
      <c r="T88" s="152"/>
      <c r="V88" s="589" t="s">
        <v>283</v>
      </c>
      <c r="W88" s="595" t="s">
        <v>289</v>
      </c>
      <c r="X88" s="596" t="s">
        <v>283</v>
      </c>
      <c r="Y88" s="597">
        <v>0</v>
      </c>
      <c r="Z88" s="595" t="s">
        <v>735</v>
      </c>
      <c r="AA88" s="595" t="s">
        <v>756</v>
      </c>
      <c r="AB88" s="605" t="s">
        <v>735</v>
      </c>
    </row>
    <row r="89" spans="1:29" ht="11.25" customHeight="1" x14ac:dyDescent="0.2">
      <c r="D89" s="444"/>
      <c r="E89" s="144"/>
      <c r="F89" s="6"/>
      <c r="G89" s="6"/>
      <c r="H89" s="103"/>
      <c r="I89" s="103"/>
      <c r="J89" s="111"/>
      <c r="K89" s="103"/>
      <c r="L89" s="103"/>
      <c r="M89" s="103"/>
      <c r="N89" s="327" t="s">
        <v>547</v>
      </c>
      <c r="O89" s="212">
        <f>SUM(O83:O88)</f>
        <v>0</v>
      </c>
      <c r="P89" s="212">
        <f>SUM(P83:P88)</f>
        <v>0</v>
      </c>
      <c r="Q89" s="212">
        <f>SUM(Q83:Q88)</f>
        <v>0</v>
      </c>
      <c r="R89" s="324"/>
      <c r="S89" s="318"/>
      <c r="T89" s="152"/>
      <c r="V89" s="589" t="s">
        <v>199</v>
      </c>
      <c r="W89" s="595" t="s">
        <v>728</v>
      </c>
      <c r="X89" s="596" t="s">
        <v>199</v>
      </c>
      <c r="Y89" s="597"/>
      <c r="Z89" s="595" t="s">
        <v>735</v>
      </c>
      <c r="AA89" s="595" t="s">
        <v>756</v>
      </c>
      <c r="AB89" s="605" t="s">
        <v>735</v>
      </c>
    </row>
    <row r="90" spans="1:29" ht="11.25" customHeight="1" x14ac:dyDescent="0.2">
      <c r="D90" s="444"/>
      <c r="E90" s="144"/>
      <c r="F90" s="6"/>
      <c r="G90" s="6" t="s">
        <v>596</v>
      </c>
      <c r="H90" s="103"/>
      <c r="I90" s="103"/>
      <c r="J90" s="103"/>
      <c r="K90" s="103"/>
      <c r="L90" s="103"/>
      <c r="M90" s="103"/>
      <c r="N90" s="103"/>
      <c r="O90" s="103" t="s">
        <v>749</v>
      </c>
      <c r="P90" s="134"/>
      <c r="Q90" s="134"/>
      <c r="R90" s="134"/>
      <c r="S90" s="318"/>
      <c r="T90" s="152"/>
      <c r="V90" s="589" t="s">
        <v>271</v>
      </c>
      <c r="W90" s="595" t="s">
        <v>550</v>
      </c>
      <c r="X90" s="596" t="s">
        <v>271</v>
      </c>
      <c r="Y90" s="596">
        <v>0</v>
      </c>
      <c r="Z90" s="595" t="s">
        <v>551</v>
      </c>
      <c r="AA90" s="595" t="s">
        <v>551</v>
      </c>
      <c r="AB90" s="605" t="s">
        <v>551</v>
      </c>
    </row>
    <row r="91" spans="1:29" ht="11.25" customHeight="1" x14ac:dyDescent="0.2">
      <c r="D91" s="176"/>
      <c r="E91" s="144"/>
      <c r="F91" s="6"/>
      <c r="G91" s="6"/>
      <c r="H91" s="103"/>
      <c r="I91" s="103"/>
      <c r="J91" s="103" t="s">
        <v>747</v>
      </c>
      <c r="K91" s="103"/>
      <c r="L91" s="103"/>
      <c r="M91" s="323"/>
      <c r="N91" s="325"/>
      <c r="O91" s="326"/>
      <c r="P91" s="326"/>
      <c r="Q91" s="326"/>
      <c r="R91" s="486" t="s">
        <v>750</v>
      </c>
      <c r="S91" s="318"/>
      <c r="T91" s="152"/>
      <c r="V91" s="589" t="s">
        <v>278</v>
      </c>
      <c r="W91" s="595" t="s">
        <v>832</v>
      </c>
      <c r="X91" s="596" t="s">
        <v>10</v>
      </c>
      <c r="Y91" s="596">
        <v>2</v>
      </c>
      <c r="Z91" s="595" t="s">
        <v>362</v>
      </c>
      <c r="AA91" s="595" t="s">
        <v>362</v>
      </c>
      <c r="AB91" s="605" t="s">
        <v>755</v>
      </c>
    </row>
    <row r="92" spans="1:29" ht="11.25" customHeight="1" x14ac:dyDescent="0.2">
      <c r="A92" s="142">
        <f>IF(OR(BOP_PGM="M",BOP_PGM="S"),2,0)</f>
        <v>0</v>
      </c>
      <c r="B92" s="142">
        <f>IF(ISBLANK(I92),IF(A92=0,0,1),IF(A92=0,2,0))</f>
        <v>0</v>
      </c>
      <c r="C92" s="87">
        <f>IF(I92="N","N",IF(I92="HDHP",3,IF(I92="EPO",4,5))+IF(BOP_PGM="S",3,0))</f>
        <v>5</v>
      </c>
      <c r="D92" s="176" t="s">
        <v>662</v>
      </c>
      <c r="E92" s="144"/>
      <c r="F92" s="6"/>
      <c r="G92" s="6"/>
      <c r="H92" s="103" t="s">
        <v>859</v>
      </c>
      <c r="I92" s="224"/>
      <c r="J92" s="225"/>
      <c r="K92" s="103" t="str">
        <f>IF(A92=0,IF(ISBLANK(I92),"Not Available","◄ Clear this entry"),IF(ISBLANK(I92),"◄ Option or N?",IF(I92="N","Not Offered","Enter Church's Share for each option")))</f>
        <v>Not Available</v>
      </c>
      <c r="L92" s="319"/>
      <c r="M92" s="334" t="s">
        <v>370</v>
      </c>
      <c r="N92" s="334" t="s">
        <v>498</v>
      </c>
      <c r="O92" s="248" t="s">
        <v>267</v>
      </c>
      <c r="P92" s="248" t="s">
        <v>314</v>
      </c>
      <c r="Q92" s="481" t="s">
        <v>315</v>
      </c>
      <c r="R92" s="487" t="s">
        <v>317</v>
      </c>
      <c r="S92" s="104"/>
      <c r="T92" s="152"/>
      <c r="V92" s="589" t="s">
        <v>273</v>
      </c>
      <c r="W92" s="595" t="s">
        <v>860</v>
      </c>
      <c r="X92" s="596" t="s">
        <v>10</v>
      </c>
      <c r="Y92" s="596">
        <v>2</v>
      </c>
      <c r="Z92" s="595" t="s">
        <v>743</v>
      </c>
      <c r="AA92" s="595" t="s">
        <v>743</v>
      </c>
      <c r="AB92" s="605" t="s">
        <v>743</v>
      </c>
    </row>
    <row r="93" spans="1:29" ht="11.25" customHeight="1" x14ac:dyDescent="0.2">
      <c r="A93" s="142">
        <f>IF(OR(ISBLANK(I$92),I$92="N"),0,2)</f>
        <v>0</v>
      </c>
      <c r="B93" s="142">
        <f>IF(AND(ISBLANK(I93),A93=2),1,0)</f>
        <v>0</v>
      </c>
      <c r="C93" s="87" t="s">
        <v>199</v>
      </c>
      <c r="D93" s="176" t="s">
        <v>663</v>
      </c>
      <c r="E93" s="144"/>
      <c r="F93" s="6"/>
      <c r="G93" s="6"/>
      <c r="H93" s="167" t="s">
        <v>201</v>
      </c>
      <c r="I93" s="550"/>
      <c r="J93" s="111"/>
      <c r="K93" s="103" t="str">
        <f>IF(B93=0,IF(I93&lt;0.5,"See min. in directions",""),IF(B93=1,"◄ Enter 50-100%","◄ Clear this entry."))</f>
        <v>See min. in directions</v>
      </c>
      <c r="L93" s="103"/>
      <c r="M93" s="320">
        <f>O93</f>
        <v>6701</v>
      </c>
      <c r="N93" s="321">
        <f>ROUND(I93*M93,2)</f>
        <v>0</v>
      </c>
      <c r="O93" s="322">
        <f>IF(ISBLANK(R93),VLOOKUP(C93,MED_RATES,C$92,FALSE),R93)</f>
        <v>6701</v>
      </c>
      <c r="P93" s="239">
        <f>O93-Q93</f>
        <v>6701</v>
      </c>
      <c r="Q93" s="239">
        <f>N93</f>
        <v>0</v>
      </c>
      <c r="R93" s="343"/>
      <c r="S93" s="104"/>
      <c r="T93" s="152"/>
      <c r="V93" s="589" t="s">
        <v>274</v>
      </c>
      <c r="W93" s="595" t="s">
        <v>355</v>
      </c>
      <c r="X93" s="596" t="s">
        <v>349</v>
      </c>
      <c r="Y93" s="596"/>
      <c r="Z93" s="595" t="s">
        <v>355</v>
      </c>
      <c r="AA93" s="595" t="s">
        <v>355</v>
      </c>
      <c r="AB93" s="605" t="s">
        <v>758</v>
      </c>
    </row>
    <row r="94" spans="1:29" ht="11.25" customHeight="1" x14ac:dyDescent="0.2">
      <c r="A94" s="142">
        <f t="shared" ref="A94:A96" si="4">IF(OR(ISBLANK(I$92),I$92="N"),0,2)</f>
        <v>0</v>
      </c>
      <c r="B94" s="142">
        <f t="shared" ref="B94:B96" si="5">IF(AND(ISBLANK(I94),A94=2),1,0)</f>
        <v>0</v>
      </c>
      <c r="C94" s="87" t="s">
        <v>278</v>
      </c>
      <c r="D94" s="176" t="s">
        <v>607</v>
      </c>
      <c r="E94" s="144"/>
      <c r="F94" s="96"/>
      <c r="G94" s="6"/>
      <c r="H94" s="168" t="s">
        <v>299</v>
      </c>
      <c r="I94" s="550"/>
      <c r="J94" s="111"/>
      <c r="K94" s="103" t="str">
        <f>IF(B94=0,"",IF(B94=1,"◄ Enter   0-100%","◄ Clear this entry."))</f>
        <v/>
      </c>
      <c r="L94" s="103"/>
      <c r="M94" s="320">
        <f>O94-O$93</f>
        <v>8953</v>
      </c>
      <c r="N94" s="321">
        <f>ROUND(I94*M94,2)</f>
        <v>0</v>
      </c>
      <c r="O94" s="322">
        <f>IF(ISBLANK(R94),VLOOKUP(C94,MED_RATES,C$92,FALSE),R94)</f>
        <v>15654</v>
      </c>
      <c r="P94" s="239">
        <f>O94-Q94</f>
        <v>15654</v>
      </c>
      <c r="Q94" s="239">
        <f>Q$93+N94</f>
        <v>0</v>
      </c>
      <c r="R94" s="343"/>
      <c r="S94" s="104"/>
      <c r="T94" s="152"/>
      <c r="V94" s="589" t="s">
        <v>272</v>
      </c>
      <c r="W94" s="595" t="s">
        <v>754</v>
      </c>
      <c r="X94" s="596" t="s">
        <v>349</v>
      </c>
      <c r="Y94" s="596"/>
      <c r="Z94" s="595"/>
      <c r="AA94" s="595"/>
      <c r="AB94" s="605" t="s">
        <v>757</v>
      </c>
    </row>
    <row r="95" spans="1:29" ht="11.25" customHeight="1" x14ac:dyDescent="0.2">
      <c r="A95" s="142">
        <f t="shared" si="4"/>
        <v>0</v>
      </c>
      <c r="B95" s="142">
        <f t="shared" si="5"/>
        <v>0</v>
      </c>
      <c r="C95" s="87" t="s">
        <v>272</v>
      </c>
      <c r="D95" s="176" t="s">
        <v>664</v>
      </c>
      <c r="E95" s="144"/>
      <c r="F95" s="96"/>
      <c r="G95" s="6"/>
      <c r="H95" s="168" t="s">
        <v>301</v>
      </c>
      <c r="I95" s="550"/>
      <c r="J95" s="111"/>
      <c r="K95" s="103" t="str">
        <f>IF(B95=0,"",IF(B95=1,"◄ Enter   0-100%","◄ Clear this entry."))</f>
        <v/>
      </c>
      <c r="L95" s="103"/>
      <c r="M95" s="320">
        <f>O95-O$93</f>
        <v>5245</v>
      </c>
      <c r="N95" s="321">
        <f>ROUND(I95*M95,2)</f>
        <v>0</v>
      </c>
      <c r="O95" s="322">
        <f>IF(ISBLANK(R95),VLOOKUP(C95,MED_RATES,C$92,FALSE),R95)</f>
        <v>11946</v>
      </c>
      <c r="P95" s="239">
        <f>O95-Q95</f>
        <v>11946</v>
      </c>
      <c r="Q95" s="239">
        <f>Q$93+N95</f>
        <v>0</v>
      </c>
      <c r="R95" s="343"/>
      <c r="S95" s="104"/>
      <c r="T95" s="152"/>
      <c r="V95" s="589" t="s">
        <v>269</v>
      </c>
      <c r="W95" s="595" t="s">
        <v>345</v>
      </c>
      <c r="X95" s="596" t="s">
        <v>349</v>
      </c>
      <c r="Y95" s="596"/>
      <c r="Z95" s="595" t="s">
        <v>345</v>
      </c>
      <c r="AA95" s="595" t="s">
        <v>345</v>
      </c>
      <c r="AB95" s="595" t="s">
        <v>345</v>
      </c>
      <c r="AC95" s="134"/>
    </row>
    <row r="96" spans="1:29" ht="11.25" customHeight="1" thickBot="1" x14ac:dyDescent="0.25">
      <c r="A96" s="142">
        <f t="shared" si="4"/>
        <v>0</v>
      </c>
      <c r="B96" s="142">
        <f t="shared" si="5"/>
        <v>0</v>
      </c>
      <c r="C96" s="87" t="s">
        <v>198</v>
      </c>
      <c r="D96" s="176" t="s">
        <v>665</v>
      </c>
      <c r="E96" s="144"/>
      <c r="F96" s="96"/>
      <c r="G96" s="6"/>
      <c r="H96" s="168" t="s">
        <v>300</v>
      </c>
      <c r="I96" s="550"/>
      <c r="J96" s="111"/>
      <c r="K96" s="103" t="str">
        <f>IF(B96=0,"",IF(B96=1,"◄ Enter   0-100%","◄ Clear this entry."))</f>
        <v/>
      </c>
      <c r="L96" s="103"/>
      <c r="M96" s="320">
        <f>O96-O$93</f>
        <v>14622</v>
      </c>
      <c r="N96" s="321">
        <f>ROUND(I96*M96,2)</f>
        <v>0</v>
      </c>
      <c r="O96" s="322">
        <f>IF(ISBLANK(R96),VLOOKUP(C96,MED_RATES,C$92,FALSE),R96)</f>
        <v>21323</v>
      </c>
      <c r="P96" s="239">
        <f>O96-Q96</f>
        <v>21323</v>
      </c>
      <c r="Q96" s="239">
        <f>Q$93+N96</f>
        <v>0</v>
      </c>
      <c r="R96" s="343"/>
      <c r="S96" s="104"/>
      <c r="T96" s="152"/>
      <c r="V96" s="592" t="s">
        <v>483</v>
      </c>
      <c r="W96" s="606" t="s">
        <v>360</v>
      </c>
      <c r="X96" s="607" t="s">
        <v>349</v>
      </c>
      <c r="Y96" s="608">
        <v>0</v>
      </c>
      <c r="Z96" s="606" t="s">
        <v>360</v>
      </c>
      <c r="AA96" s="606" t="s">
        <v>360</v>
      </c>
      <c r="AB96" s="609"/>
    </row>
    <row r="97" spans="1:28" ht="11.25" customHeight="1" thickBot="1" x14ac:dyDescent="0.25">
      <c r="D97" s="176"/>
      <c r="E97" s="144"/>
      <c r="F97" s="6"/>
      <c r="G97" s="6"/>
      <c r="H97" s="168"/>
      <c r="I97" s="6"/>
      <c r="J97" s="111"/>
      <c r="K97" s="103"/>
      <c r="L97" s="317"/>
      <c r="M97" s="333"/>
      <c r="N97" s="332" t="e">
        <f>"Maximum "&amp;VLOOKUP(BOP_PGM,BOP_PKG,2,FALSE)&amp;" Medical Insurance Costs ►"</f>
        <v>#N/A</v>
      </c>
      <c r="O97" s="239">
        <f>IF(OR(ISBLANK($I92),$I92="N"),0,MAX(O93:O96))</f>
        <v>0</v>
      </c>
      <c r="P97" s="239">
        <f>IF(OR(ISBLANK($I92),$I92="N"),0,MAX(P93:P96))</f>
        <v>0</v>
      </c>
      <c r="Q97" s="239">
        <f>IF(OR(ISBLANK($I92),$I92="N"),0,MAX(Q93:Q96))</f>
        <v>0</v>
      </c>
      <c r="R97" s="316"/>
      <c r="S97" s="381" t="str">
        <f>IF(COUNT(R93:R97)&gt;0,"Rates corrected","")</f>
        <v/>
      </c>
      <c r="T97" s="152"/>
      <c r="V97" s="222"/>
      <c r="W97" s="491" t="s">
        <v>364</v>
      </c>
      <c r="X97" s="712" t="s">
        <v>15</v>
      </c>
      <c r="Y97" s="712"/>
      <c r="Z97" s="712"/>
      <c r="AA97" s="492" t="s">
        <v>365</v>
      </c>
    </row>
    <row r="98" spans="1:28" ht="11.25" customHeight="1" x14ac:dyDescent="0.2">
      <c r="D98" s="444"/>
      <c r="E98" s="144"/>
      <c r="F98" s="6"/>
      <c r="G98" s="6"/>
      <c r="H98" s="168"/>
      <c r="I98" s="6"/>
      <c r="J98" s="111"/>
      <c r="K98" s="103"/>
      <c r="L98" s="317"/>
      <c r="M98" s="337"/>
      <c r="N98" s="338"/>
      <c r="O98" s="316"/>
      <c r="P98" s="316"/>
      <c r="Q98" s="316"/>
      <c r="R98" s="316"/>
      <c r="S98" s="104"/>
      <c r="T98" s="152"/>
      <c r="V98" s="331" t="s">
        <v>331</v>
      </c>
      <c r="W98" s="315">
        <f>'BOP Rates'!I6</f>
        <v>16200</v>
      </c>
      <c r="X98" s="691">
        <f>'BOP Rates'!K6</f>
        <v>8.5000000000000006E-2</v>
      </c>
      <c r="Y98" s="692"/>
      <c r="Z98" s="295"/>
      <c r="AA98" s="328">
        <f>'BOP Rates'!J6</f>
        <v>305000</v>
      </c>
    </row>
    <row r="99" spans="1:28" ht="11.25" customHeight="1" x14ac:dyDescent="0.2">
      <c r="D99" s="444"/>
      <c r="E99" s="144"/>
      <c r="F99" s="6"/>
      <c r="G99" s="6" t="s">
        <v>505</v>
      </c>
      <c r="H99" s="168"/>
      <c r="I99" s="103"/>
      <c r="J99" s="111"/>
      <c r="K99" s="103" t="s">
        <v>748</v>
      </c>
      <c r="L99" s="103"/>
      <c r="N99" s="103"/>
      <c r="R99" s="316"/>
      <c r="S99" s="133"/>
      <c r="T99" s="152"/>
      <c r="V99" s="307" t="s">
        <v>425</v>
      </c>
      <c r="W99" s="315">
        <f>'BOP Rates'!I7</f>
        <v>16200</v>
      </c>
      <c r="X99" s="691">
        <f>'BOP Rates'!K7</f>
        <v>0.01</v>
      </c>
      <c r="Y99" s="692"/>
      <c r="Z99" s="490">
        <f>'BOP Rates'!L7</f>
        <v>2.5000000000000001E-2</v>
      </c>
      <c r="AA99" s="328">
        <f>'BOP Rates'!J7</f>
        <v>305000</v>
      </c>
    </row>
    <row r="100" spans="1:28" ht="11.25" customHeight="1" x14ac:dyDescent="0.2">
      <c r="A100">
        <v>2</v>
      </c>
      <c r="B100" s="142">
        <f>IF(ISBLANK(I100),1,0)</f>
        <v>1</v>
      </c>
      <c r="C100" s="87">
        <f>IF(ISBLANK(I100),4,IF(I100="DMO",3,4))</f>
        <v>4</v>
      </c>
      <c r="D100" s="176" t="s">
        <v>666</v>
      </c>
      <c r="E100" s="144"/>
      <c r="F100" s="6"/>
      <c r="G100" s="6"/>
      <c r="H100" s="103" t="s">
        <v>504</v>
      </c>
      <c r="I100" s="224"/>
      <c r="J100" s="225"/>
      <c r="K100" s="103" t="str">
        <f>IF(ISBLANK(I100),"◄ Option or N?",IF(I100="N","Not Offered","Enter Church's Share for each option"))</f>
        <v>◄ Option or N?</v>
      </c>
      <c r="L100" s="336"/>
      <c r="M100" s="339"/>
      <c r="N100" s="335"/>
      <c r="O100" s="248" t="s">
        <v>267</v>
      </c>
      <c r="P100" s="248" t="s">
        <v>314</v>
      </c>
      <c r="Q100" s="248" t="s">
        <v>315</v>
      </c>
      <c r="R100" s="316"/>
      <c r="S100" s="104"/>
      <c r="T100" s="152"/>
      <c r="V100" s="307" t="s">
        <v>739</v>
      </c>
      <c r="W100" s="315">
        <f>'BOP Rates'!I8</f>
        <v>0</v>
      </c>
      <c r="X100" s="691" t="str">
        <f>'BOP Rates'!K8</f>
        <v>NA</v>
      </c>
      <c r="Y100" s="692"/>
      <c r="Z100" s="490">
        <f>'BOP Rates'!L8</f>
        <v>3.5000000000000001E-3</v>
      </c>
      <c r="AA100" s="328">
        <f>'BOP Rates'!J8</f>
        <v>305000</v>
      </c>
    </row>
    <row r="101" spans="1:28" ht="11.25" customHeight="1" x14ac:dyDescent="0.2">
      <c r="A101" s="142">
        <f>IF(OR(ISBLANK(I$100),I$100="N"),0,2)</f>
        <v>0</v>
      </c>
      <c r="B101" s="142">
        <f>IF(AND(ISBLANK(I101),A101=2),1,0)</f>
        <v>0</v>
      </c>
      <c r="C101" s="87" t="s">
        <v>199</v>
      </c>
      <c r="D101" s="176" t="s">
        <v>667</v>
      </c>
      <c r="E101" s="144"/>
      <c r="F101" s="6"/>
      <c r="G101" s="6"/>
      <c r="H101" s="167" t="s">
        <v>500</v>
      </c>
      <c r="I101" s="199"/>
      <c r="J101" s="111"/>
      <c r="K101" s="103" t="str">
        <f>IF(B101=0,"",IF(B101=1,"◄ Enter   0-100%","◄ Clear this entry."))</f>
        <v/>
      </c>
      <c r="L101" s="103"/>
      <c r="M101" s="339"/>
      <c r="N101" s="335"/>
      <c r="O101" s="322">
        <f>VLOOKUP(C101,DENT_RATES,C$100,FALSE)</f>
        <v>445.56</v>
      </c>
      <c r="P101" s="239">
        <f>O101-Q101</f>
        <v>445.56</v>
      </c>
      <c r="Q101" s="239">
        <f>O101*I101</f>
        <v>0</v>
      </c>
      <c r="R101" s="316"/>
      <c r="S101" s="104"/>
      <c r="T101" s="152"/>
      <c r="V101" s="307" t="s">
        <v>729</v>
      </c>
      <c r="W101" s="315">
        <f>'BOP Rates'!I9</f>
        <v>14325</v>
      </c>
      <c r="X101" s="691">
        <f>'BOP Rates'!K9</f>
        <v>5.0000000000000001E-3</v>
      </c>
      <c r="Y101" s="692"/>
      <c r="Z101" s="490">
        <f>'BOP Rates'!L9</f>
        <v>1.0385E-2</v>
      </c>
      <c r="AA101" s="328">
        <f>'BOP Rates'!J9</f>
        <v>290000</v>
      </c>
    </row>
    <row r="102" spans="1:28" ht="11.25" customHeight="1" x14ac:dyDescent="0.2">
      <c r="A102" s="142">
        <f t="shared" ref="A102:A104" si="6">IF(OR(ISBLANK(I$100),I$100="N"),0,2)</f>
        <v>0</v>
      </c>
      <c r="B102" s="142">
        <f t="shared" ref="B102:B104" si="7">IF(AND(ISBLANK(I102),A102=2),1,0)</f>
        <v>0</v>
      </c>
      <c r="C102" s="87" t="s">
        <v>278</v>
      </c>
      <c r="D102" s="176" t="s">
        <v>668</v>
      </c>
      <c r="E102" s="144"/>
      <c r="F102" s="6"/>
      <c r="G102" s="6"/>
      <c r="H102" s="168" t="s">
        <v>501</v>
      </c>
      <c r="I102" s="199"/>
      <c r="J102" s="111"/>
      <c r="K102" s="103" t="str">
        <f>IF(B102=0,"",IF(B102=1,"◄ Enter   0-100%","◄ Clear this entry."))</f>
        <v/>
      </c>
      <c r="L102" s="103"/>
      <c r="N102" s="335"/>
      <c r="O102" s="322">
        <f>VLOOKUP(C102,DENT_RATES,C$100,FALSE)</f>
        <v>891.24</v>
      </c>
      <c r="P102" s="239">
        <f>O102-Q102</f>
        <v>891.24</v>
      </c>
      <c r="Q102" s="239">
        <f>O102*I102</f>
        <v>0</v>
      </c>
      <c r="R102" s="316"/>
      <c r="S102" s="104"/>
      <c r="T102" s="152"/>
      <c r="V102" s="307" t="s">
        <v>283</v>
      </c>
      <c r="W102" s="315">
        <f>'BOP Rates'!I10</f>
        <v>39655.17</v>
      </c>
      <c r="X102" s="691">
        <f>'BOP Rates'!K10</f>
        <v>0.28999999999999998</v>
      </c>
      <c r="Y102" s="692"/>
      <c r="Z102" s="295"/>
      <c r="AA102" s="328">
        <f>'BOP Rates'!J10</f>
        <v>115517.24</v>
      </c>
    </row>
    <row r="103" spans="1:28" ht="11.25" customHeight="1" thickBot="1" x14ac:dyDescent="0.25">
      <c r="A103" s="142">
        <f t="shared" si="6"/>
        <v>0</v>
      </c>
      <c r="B103" s="142">
        <f t="shared" si="7"/>
        <v>0</v>
      </c>
      <c r="C103" s="87" t="s">
        <v>272</v>
      </c>
      <c r="D103" s="176" t="s">
        <v>669</v>
      </c>
      <c r="E103" s="144"/>
      <c r="F103" s="6"/>
      <c r="G103" s="6"/>
      <c r="H103" s="168" t="s">
        <v>502</v>
      </c>
      <c r="I103" s="199"/>
      <c r="J103" s="111"/>
      <c r="K103" s="103" t="str">
        <f>IF(B103=0,"",IF(B103=1,"◄ Enter   0-100%","◄ Clear this entry."))</f>
        <v/>
      </c>
      <c r="L103" s="103"/>
      <c r="M103" s="339"/>
      <c r="N103" s="335"/>
      <c r="O103" s="322">
        <f>VLOOKUP(C103,DENT_RATES,C$100,FALSE)</f>
        <v>1002.6</v>
      </c>
      <c r="P103" s="239">
        <f>O103-Q103</f>
        <v>1002.6</v>
      </c>
      <c r="Q103" s="239">
        <f>O103*I103</f>
        <v>0</v>
      </c>
      <c r="R103" s="316"/>
      <c r="S103" s="104"/>
      <c r="T103" s="152"/>
      <c r="V103" s="309" t="s">
        <v>271</v>
      </c>
      <c r="W103" s="582">
        <f>'BOP Rates'!I13</f>
        <v>0</v>
      </c>
      <c r="X103" s="713">
        <f>'BOP Rates'!K13</f>
        <v>0.12</v>
      </c>
      <c r="Y103" s="714"/>
      <c r="Z103" s="329"/>
      <c r="AA103" s="330">
        <f>'BOP Rates'!J13</f>
        <v>270000</v>
      </c>
    </row>
    <row r="104" spans="1:28" ht="11.25" customHeight="1" thickBot="1" x14ac:dyDescent="0.25">
      <c r="A104" s="142">
        <f t="shared" si="6"/>
        <v>0</v>
      </c>
      <c r="B104" s="142">
        <f t="shared" si="7"/>
        <v>0</v>
      </c>
      <c r="C104" s="87" t="s">
        <v>198</v>
      </c>
      <c r="D104" s="176" t="s">
        <v>670</v>
      </c>
      <c r="E104" s="144"/>
      <c r="F104" s="6"/>
      <c r="G104" s="6"/>
      <c r="H104" s="168" t="s">
        <v>503</v>
      </c>
      <c r="I104" s="199"/>
      <c r="J104" s="111"/>
      <c r="K104" s="103" t="str">
        <f>IF(B104=0,"",IF(B104=1,"◄ Enter   0-100%","◄ Clear this entry."))</f>
        <v/>
      </c>
      <c r="L104" s="103"/>
      <c r="M104" s="339"/>
      <c r="N104" s="335"/>
      <c r="O104" s="322">
        <f>VLOOKUP(C104,DENT_RATES,C$100,FALSE)</f>
        <v>1448.16</v>
      </c>
      <c r="P104" s="239">
        <f>O104-Q104</f>
        <v>1448.16</v>
      </c>
      <c r="Q104" s="239">
        <f>O104*I104</f>
        <v>0</v>
      </c>
      <c r="R104" s="316"/>
      <c r="S104" s="104"/>
      <c r="T104" s="152"/>
      <c r="V104" s="87"/>
      <c r="W104" s="610"/>
      <c r="X104" s="611"/>
    </row>
    <row r="105" spans="1:28" ht="11.25" customHeight="1" thickBot="1" x14ac:dyDescent="0.25">
      <c r="D105" s="444"/>
      <c r="E105" s="144"/>
      <c r="F105" s="6"/>
      <c r="G105" s="6"/>
      <c r="H105" s="168"/>
      <c r="I105" s="6"/>
      <c r="J105" s="111"/>
      <c r="K105" s="103"/>
      <c r="L105" s="317"/>
      <c r="M105" s="337"/>
      <c r="N105" s="338" t="s">
        <v>507</v>
      </c>
      <c r="O105" s="239">
        <f>IF(OR(ISBLANK($I100),$I100="N"),0,MAX(O101:O104))</f>
        <v>0</v>
      </c>
      <c r="P105" s="239">
        <f>IF(OR(ISBLANK($I100),$I100="N"),0,MAX(P101:P104))</f>
        <v>0</v>
      </c>
      <c r="Q105" s="239">
        <f>IF(OR(ISBLANK($I100),$I100="N"),0,MAX(Q101:Q104))</f>
        <v>0</v>
      </c>
      <c r="R105" s="316"/>
      <c r="S105" s="381" t="str">
        <f>IF(COUNT(R101:R105)&gt;0,"Rates corrected","")</f>
        <v/>
      </c>
      <c r="T105" s="152"/>
      <c r="V105" s="612"/>
      <c r="W105" s="614" t="s">
        <v>838</v>
      </c>
      <c r="X105" s="613"/>
      <c r="Z105" s="706" t="s">
        <v>835</v>
      </c>
      <c r="AA105" s="707"/>
      <c r="AB105" s="708"/>
    </row>
    <row r="106" spans="1:28" ht="11.25" customHeight="1" x14ac:dyDescent="0.2">
      <c r="A106">
        <v>2</v>
      </c>
      <c r="B106" s="142">
        <f>IF(ISBLANK(I106),1,0)</f>
        <v>1</v>
      </c>
      <c r="C106" s="87" t="str">
        <f>IF(ISBLANK(I106),"",I106)</f>
        <v/>
      </c>
      <c r="D106" s="176" t="s">
        <v>671</v>
      </c>
      <c r="E106" s="144"/>
      <c r="F106" s="6"/>
      <c r="G106" s="167"/>
      <c r="H106" s="103" t="s">
        <v>597</v>
      </c>
      <c r="I106" s="224"/>
      <c r="J106" s="225"/>
      <c r="K106" s="103" t="str">
        <f>IF(ISBLANK(I106),"◄ Offered  or Not?",IF(I106="N","Not Offered","Enter Church's Share for each option"))</f>
        <v>◄ Offered  or Not?</v>
      </c>
      <c r="L106" s="336"/>
      <c r="M106" s="339"/>
      <c r="N106" s="335"/>
      <c r="O106" s="248" t="s">
        <v>267</v>
      </c>
      <c r="P106" s="248" t="s">
        <v>314</v>
      </c>
      <c r="Q106" s="248" t="s">
        <v>315</v>
      </c>
      <c r="R106" s="316"/>
      <c r="S106" s="104"/>
      <c r="T106" s="152"/>
      <c r="V106" s="615" t="s">
        <v>277</v>
      </c>
      <c r="W106" s="616" t="s">
        <v>378</v>
      </c>
      <c r="X106" s="617">
        <v>0</v>
      </c>
      <c r="Z106" s="589" t="s">
        <v>509</v>
      </c>
      <c r="AA106" s="590" t="s">
        <v>510</v>
      </c>
      <c r="AB106" s="591"/>
    </row>
    <row r="107" spans="1:28" ht="11.25" customHeight="1" x14ac:dyDescent="0.2">
      <c r="A107" s="142">
        <f>IF(OR(ISBLANK(I$106),I$106="N"),0,2)</f>
        <v>0</v>
      </c>
      <c r="B107" s="142">
        <f>IF(AND(ISBLANK(I107),A107=2),1,0)</f>
        <v>0</v>
      </c>
      <c r="C107" s="87" t="s">
        <v>199</v>
      </c>
      <c r="D107" s="176" t="s">
        <v>672</v>
      </c>
      <c r="E107" s="144"/>
      <c r="F107" s="6"/>
      <c r="G107" s="6"/>
      <c r="H107" s="167" t="s">
        <v>500</v>
      </c>
      <c r="I107" s="199"/>
      <c r="J107" s="111"/>
      <c r="K107" s="103" t="str">
        <f>IF(B107=0,"",IF(B107=1,"◄ Enter   0-100%","◄ Clear this entry."))</f>
        <v/>
      </c>
      <c r="L107" s="103"/>
      <c r="M107" s="339"/>
      <c r="N107" s="335"/>
      <c r="O107" s="322">
        <f>VLOOKUP(C107,VIS_RATES,3,FALSE)</f>
        <v>46.68</v>
      </c>
      <c r="P107" s="239">
        <f>O107-Q107</f>
        <v>46.68</v>
      </c>
      <c r="Q107" s="239">
        <f>O107*I107</f>
        <v>0</v>
      </c>
      <c r="R107" s="316"/>
      <c r="S107" s="104"/>
      <c r="T107" s="152"/>
      <c r="V107" s="589" t="s">
        <v>200</v>
      </c>
      <c r="W107" s="595" t="s">
        <v>376</v>
      </c>
      <c r="X107" s="618">
        <v>0</v>
      </c>
      <c r="Z107" s="589" t="s">
        <v>200</v>
      </c>
      <c r="AA107" s="590" t="s">
        <v>511</v>
      </c>
      <c r="AB107" s="591"/>
    </row>
    <row r="108" spans="1:28" ht="11.25" customHeight="1" x14ac:dyDescent="0.2">
      <c r="A108" s="142">
        <f t="shared" ref="A108:A110" si="8">IF(OR(ISBLANK(I$106),I$106="N"),0,2)</f>
        <v>0</v>
      </c>
      <c r="B108" s="142">
        <f t="shared" ref="B108:B110" si="9">IF(AND(ISBLANK(I108),A108=2),1,0)</f>
        <v>0</v>
      </c>
      <c r="C108" s="87" t="s">
        <v>278</v>
      </c>
      <c r="D108" s="176" t="s">
        <v>673</v>
      </c>
      <c r="E108" s="144"/>
      <c r="F108" s="6"/>
      <c r="G108" s="6"/>
      <c r="H108" s="168" t="s">
        <v>501</v>
      </c>
      <c r="I108" s="199"/>
      <c r="J108" s="111"/>
      <c r="K108" s="103" t="str">
        <f>IF(B108=0,"",IF(B108=1,"◄ Enter   0-100%","◄ Clear this entry."))</f>
        <v/>
      </c>
      <c r="L108" s="103"/>
      <c r="N108" s="335"/>
      <c r="O108" s="322">
        <f>VLOOKUP(C108,VIS_RATES,3,FALSE)</f>
        <v>92.28</v>
      </c>
      <c r="P108" s="239">
        <f>O108-Q108</f>
        <v>92.28</v>
      </c>
      <c r="Q108" s="239">
        <f>O108*I108</f>
        <v>0</v>
      </c>
      <c r="R108" s="316"/>
      <c r="S108" s="104"/>
      <c r="T108" s="152"/>
      <c r="V108" s="589" t="s">
        <v>269</v>
      </c>
      <c r="W108" s="595" t="s">
        <v>377</v>
      </c>
      <c r="X108" s="618">
        <v>0</v>
      </c>
      <c r="Z108" s="589" t="s">
        <v>512</v>
      </c>
      <c r="AA108" s="590" t="s">
        <v>723</v>
      </c>
      <c r="AB108" s="591"/>
    </row>
    <row r="109" spans="1:28" ht="11.25" customHeight="1" thickBot="1" x14ac:dyDescent="0.25">
      <c r="A109" s="142">
        <f t="shared" si="8"/>
        <v>0</v>
      </c>
      <c r="B109" s="142">
        <f t="shared" si="9"/>
        <v>0</v>
      </c>
      <c r="C109" s="87" t="s">
        <v>272</v>
      </c>
      <c r="D109" s="176" t="s">
        <v>674</v>
      </c>
      <c r="E109" s="144"/>
      <c r="F109" s="6"/>
      <c r="G109" s="6"/>
      <c r="H109" s="168" t="s">
        <v>502</v>
      </c>
      <c r="I109" s="199"/>
      <c r="J109" s="111"/>
      <c r="K109" s="103" t="str">
        <f>IF(B109=0,"",IF(B109=1,"◄ Enter   0-100%","◄ Clear this entry."))</f>
        <v/>
      </c>
      <c r="L109" s="103"/>
      <c r="M109" s="339"/>
      <c r="N109" s="335"/>
      <c r="O109" s="322">
        <f>VLOOKUP(C109,VIS_RATES,3,FALSE)</f>
        <v>98.04</v>
      </c>
      <c r="P109" s="239">
        <f>O109-Q109</f>
        <v>98.04</v>
      </c>
      <c r="Q109" s="239">
        <f>O109*I109</f>
        <v>0</v>
      </c>
      <c r="R109" s="316"/>
      <c r="S109" s="104"/>
      <c r="T109" s="152"/>
      <c r="V109" s="589" t="s">
        <v>379</v>
      </c>
      <c r="W109" s="595" t="s">
        <v>373</v>
      </c>
      <c r="X109" s="618">
        <v>1</v>
      </c>
      <c r="Z109" s="592" t="s">
        <v>269</v>
      </c>
      <c r="AA109" s="593" t="s">
        <v>345</v>
      </c>
      <c r="AB109" s="594"/>
    </row>
    <row r="110" spans="1:28" ht="11.25" customHeight="1" thickBot="1" x14ac:dyDescent="0.25">
      <c r="A110" s="142">
        <f t="shared" si="8"/>
        <v>0</v>
      </c>
      <c r="B110" s="142">
        <f t="shared" si="9"/>
        <v>0</v>
      </c>
      <c r="C110" s="87" t="s">
        <v>198</v>
      </c>
      <c r="D110" s="176" t="s">
        <v>707</v>
      </c>
      <c r="E110" s="144"/>
      <c r="F110" s="6"/>
      <c r="G110" s="6"/>
      <c r="H110" s="168" t="s">
        <v>503</v>
      </c>
      <c r="I110" s="199"/>
      <c r="J110" s="111"/>
      <c r="K110" s="103" t="str">
        <f>IF(B110=0,"",IF(B110=1,"◄ Enter   0-100%","◄ Clear this entry."))</f>
        <v/>
      </c>
      <c r="L110" s="103"/>
      <c r="M110" s="339"/>
      <c r="N110" s="335"/>
      <c r="O110" s="322">
        <f>VLOOKUP(C110,VIS_RATES,3,FALSE)</f>
        <v>157.44</v>
      </c>
      <c r="P110" s="239">
        <f>O110-Q110</f>
        <v>157.44</v>
      </c>
      <c r="Q110" s="239">
        <f>O110*I110</f>
        <v>0</v>
      </c>
      <c r="R110" s="316"/>
      <c r="S110" s="104"/>
      <c r="T110" s="152"/>
      <c r="V110" s="592" t="s">
        <v>375</v>
      </c>
      <c r="W110" s="606" t="s">
        <v>374</v>
      </c>
      <c r="X110" s="619">
        <v>2</v>
      </c>
      <c r="Z110" s="103"/>
      <c r="AA110" s="103"/>
      <c r="AB110" s="103"/>
    </row>
    <row r="111" spans="1:28" ht="11.25" customHeight="1" x14ac:dyDescent="0.2">
      <c r="D111" s="444"/>
      <c r="E111" s="144"/>
      <c r="F111" s="6"/>
      <c r="G111" s="6"/>
      <c r="H111" s="168"/>
      <c r="I111" s="6"/>
      <c r="J111" s="111"/>
      <c r="K111" s="103"/>
      <c r="L111" s="317"/>
      <c r="M111" s="337"/>
      <c r="N111" s="338" t="s">
        <v>759</v>
      </c>
      <c r="O111" s="239">
        <f>IF(OR(ISBLANK($I106),$I106="N"),0,MAX(O107:O110))</f>
        <v>0</v>
      </c>
      <c r="P111" s="239">
        <f>IF(OR(ISBLANK($I106),$I106="N"),0,MAX(P107:P110))</f>
        <v>0</v>
      </c>
      <c r="Q111" s="239">
        <f>IF(OR(ISBLANK($I106),$I106="N"),0,MAX(Q107:Q110))</f>
        <v>0</v>
      </c>
      <c r="R111" s="316"/>
      <c r="S111" s="381" t="str">
        <f>IF(COUNT(R106:R111)&gt;0,"Rates corrected","")</f>
        <v/>
      </c>
      <c r="T111" s="152"/>
      <c r="U111" s="374" t="s">
        <v>567</v>
      </c>
      <c r="V111" s="87"/>
      <c r="W111" s="103"/>
    </row>
    <row r="112" spans="1:28" ht="12.75" hidden="1" x14ac:dyDescent="0.2">
      <c r="A112" s="359"/>
      <c r="B112" s="359"/>
      <c r="C112" s="359"/>
      <c r="D112" s="376"/>
      <c r="E112" s="403"/>
      <c r="F112" s="404"/>
      <c r="G112" s="404"/>
      <c r="H112" s="466"/>
      <c r="I112" s="475" t="s">
        <v>812</v>
      </c>
      <c r="J112" s="474"/>
      <c r="K112" s="474"/>
      <c r="L112" s="467"/>
      <c r="M112" s="468"/>
      <c r="N112" s="469"/>
      <c r="O112" s="471"/>
      <c r="P112" s="471"/>
      <c r="Q112" s="471"/>
      <c r="R112" s="407"/>
      <c r="S112" s="470"/>
      <c r="T112" s="359"/>
      <c r="U112" s="376" t="s">
        <v>607</v>
      </c>
      <c r="V112" s="87"/>
      <c r="W112" s="103"/>
    </row>
    <row r="113" spans="1:24" ht="12.75" hidden="1" x14ac:dyDescent="0.2">
      <c r="A113" s="359"/>
      <c r="B113" s="359"/>
      <c r="C113" s="359"/>
      <c r="D113" s="376"/>
      <c r="E113" s="403"/>
      <c r="F113" s="404"/>
      <c r="G113" s="404"/>
      <c r="H113" s="466"/>
      <c r="I113" s="475">
        <v>5</v>
      </c>
      <c r="J113" s="474"/>
      <c r="K113" s="474"/>
      <c r="L113" s="467"/>
      <c r="M113" s="468"/>
      <c r="N113" s="469"/>
      <c r="O113" s="407"/>
      <c r="P113" s="407"/>
      <c r="Q113" s="407"/>
      <c r="R113" s="407"/>
      <c r="S113" s="470"/>
      <c r="T113" s="359"/>
      <c r="U113" s="376" t="s">
        <v>607</v>
      </c>
      <c r="V113"/>
    </row>
    <row r="114" spans="1:24" ht="12.75" hidden="1" x14ac:dyDescent="0.2">
      <c r="A114" s="359"/>
      <c r="B114" s="359"/>
      <c r="C114" s="359"/>
      <c r="D114" s="376"/>
      <c r="E114" s="403"/>
      <c r="F114" s="404"/>
      <c r="G114" s="404"/>
      <c r="H114" s="466"/>
      <c r="I114" s="475">
        <v>10</v>
      </c>
      <c r="J114" s="474"/>
      <c r="K114" s="474"/>
      <c r="L114" s="467"/>
      <c r="M114" s="468"/>
      <c r="N114" s="469"/>
      <c r="O114" s="407"/>
      <c r="P114" s="407"/>
      <c r="Q114" s="407"/>
      <c r="R114" s="407"/>
      <c r="S114" s="470"/>
      <c r="T114" s="359"/>
      <c r="U114" s="376" t="s">
        <v>607</v>
      </c>
      <c r="V114"/>
    </row>
    <row r="115" spans="1:24" ht="12.75" hidden="1" x14ac:dyDescent="0.2">
      <c r="A115" s="359"/>
      <c r="B115" s="359"/>
      <c r="C115" s="359"/>
      <c r="D115" s="376"/>
      <c r="E115" s="403"/>
      <c r="F115" s="404"/>
      <c r="G115" s="404"/>
      <c r="H115" s="466"/>
      <c r="I115" s="475">
        <v>15</v>
      </c>
      <c r="J115" s="474"/>
      <c r="K115" s="474"/>
      <c r="L115" s="467"/>
      <c r="M115" s="468"/>
      <c r="N115" s="469"/>
      <c r="O115" s="407"/>
      <c r="P115" s="407"/>
      <c r="Q115" s="407"/>
      <c r="R115" s="407"/>
      <c r="S115" s="470"/>
      <c r="T115" s="359"/>
      <c r="U115" s="376" t="s">
        <v>607</v>
      </c>
      <c r="V115"/>
    </row>
    <row r="116" spans="1:24" ht="12.75" hidden="1" x14ac:dyDescent="0.2">
      <c r="A116" s="359"/>
      <c r="B116" s="359"/>
      <c r="C116" s="359"/>
      <c r="D116" s="376"/>
      <c r="E116" s="403"/>
      <c r="F116" s="404"/>
      <c r="G116" s="404"/>
      <c r="H116" s="466"/>
      <c r="I116" s="475">
        <v>20</v>
      </c>
      <c r="J116" s="474"/>
      <c r="K116" s="474"/>
      <c r="L116" s="467"/>
      <c r="M116" s="468"/>
      <c r="N116" s="469"/>
      <c r="O116" s="407"/>
      <c r="P116" s="407"/>
      <c r="Q116" s="407"/>
      <c r="R116" s="407"/>
      <c r="S116" s="470"/>
      <c r="T116" s="359"/>
      <c r="U116" s="376" t="s">
        <v>607</v>
      </c>
      <c r="V116"/>
    </row>
    <row r="117" spans="1:24" ht="12.75" hidden="1" x14ac:dyDescent="0.2">
      <c r="A117" s="359"/>
      <c r="B117" s="359"/>
      <c r="C117" s="359"/>
      <c r="D117" s="376"/>
      <c r="E117" s="403"/>
      <c r="F117" s="404"/>
      <c r="G117" s="404"/>
      <c r="H117" s="466"/>
      <c r="I117" s="475">
        <v>25</v>
      </c>
      <c r="J117" s="474"/>
      <c r="K117" s="474"/>
      <c r="L117" s="467"/>
      <c r="M117" s="468"/>
      <c r="N117" s="469"/>
      <c r="O117" s="407"/>
      <c r="P117" s="407"/>
      <c r="Q117" s="407"/>
      <c r="R117" s="407"/>
      <c r="S117" s="470"/>
      <c r="T117" s="359"/>
      <c r="U117" s="376" t="s">
        <v>607</v>
      </c>
      <c r="V117"/>
    </row>
    <row r="118" spans="1:24" ht="12.75" hidden="1" x14ac:dyDescent="0.2">
      <c r="A118" s="359"/>
      <c r="B118" s="359"/>
      <c r="C118" s="359"/>
      <c r="D118" s="376"/>
      <c r="E118" s="403"/>
      <c r="F118" s="404"/>
      <c r="G118" s="404"/>
      <c r="H118" s="466"/>
      <c r="I118" s="475">
        <v>50</v>
      </c>
      <c r="J118" s="474"/>
      <c r="K118" s="474"/>
      <c r="L118" s="402"/>
      <c r="M118" s="468"/>
      <c r="N118" s="469"/>
      <c r="O118" s="407"/>
      <c r="P118" s="407"/>
      <c r="Q118" s="407"/>
      <c r="R118" s="407"/>
      <c r="S118" s="470"/>
      <c r="T118" s="359"/>
      <c r="U118" s="376" t="s">
        <v>607</v>
      </c>
      <c r="V118"/>
    </row>
    <row r="119" spans="1:24" ht="12.75" hidden="1" x14ac:dyDescent="0.2">
      <c r="A119" s="359"/>
      <c r="B119" s="359"/>
      <c r="C119" s="359"/>
      <c r="D119" s="376"/>
      <c r="E119" s="403"/>
      <c r="F119" s="404"/>
      <c r="G119" s="404"/>
      <c r="H119" s="466"/>
      <c r="I119" s="475" t="s">
        <v>740</v>
      </c>
      <c r="J119" s="474"/>
      <c r="K119" s="474"/>
      <c r="L119" s="402" t="s">
        <v>736</v>
      </c>
      <c r="M119" s="468"/>
      <c r="N119" s="469"/>
      <c r="O119" s="472"/>
      <c r="P119" s="472"/>
      <c r="Q119" s="472"/>
      <c r="R119" s="407"/>
      <c r="S119" s="470" t="str">
        <f>IF(COUNT(R107:R119)&gt;0,"Rates corrected","")</f>
        <v/>
      </c>
      <c r="T119" s="359"/>
      <c r="U119" s="376" t="s">
        <v>607</v>
      </c>
      <c r="V119"/>
    </row>
    <row r="120" spans="1:24" ht="11.25" customHeight="1" x14ac:dyDescent="0.2">
      <c r="A120" s="142">
        <f>IF(C84="N",2,0)</f>
        <v>0</v>
      </c>
      <c r="B120" s="142">
        <f>IF(ISBLANK(I120),IF(A120=2,1,0),IF(A120=0,2,0))</f>
        <v>0</v>
      </c>
      <c r="D120" s="176" t="s">
        <v>675</v>
      </c>
      <c r="E120" s="144"/>
      <c r="F120" s="6"/>
      <c r="G120" s="6"/>
      <c r="H120" s="85" t="s">
        <v>814</v>
      </c>
      <c r="I120" s="700"/>
      <c r="J120" s="700"/>
      <c r="K120" s="337"/>
      <c r="L120" s="552" t="str">
        <f>IF(B120=1,"◄ Select             ",IF(B120=2,"◄ Clear this entry  ",IF(A120=0,"Not allowed            ",IF(I120="None","Not offered           ",IF(I120="Salary","Salary-based:","Coverage:")))))</f>
        <v xml:space="preserve">Not allowed            </v>
      </c>
      <c r="M120" s="739">
        <f>IF(OR(I120="None",ISBLANK(I120)),0,IF(I120="Salary",MIN(BOP_EFF_SAL,50000),I120*1000))</f>
        <v>0</v>
      </c>
      <c r="N120" s="740"/>
      <c r="O120" s="239">
        <v>0</v>
      </c>
      <c r="P120" s="239">
        <v>0</v>
      </c>
      <c r="Q120" s="239">
        <f>M120*GTL_RATE</f>
        <v>0</v>
      </c>
      <c r="R120" s="316"/>
      <c r="S120" s="104"/>
      <c r="T120" s="152"/>
      <c r="U120" s="374" t="s">
        <v>568</v>
      </c>
      <c r="V120"/>
    </row>
    <row r="121" spans="1:24" ht="11.25" customHeight="1" x14ac:dyDescent="0.2">
      <c r="A121">
        <v>2</v>
      </c>
      <c r="B121" s="142">
        <f>IF(ISBLANK(I121),IF(A121=2,1,0),IF(A121=0,2,0))</f>
        <v>1</v>
      </c>
      <c r="C121" s="87" t="str">
        <f>IF(ISBLANK(I121),"",I121)</f>
        <v/>
      </c>
      <c r="D121" s="176" t="s">
        <v>676</v>
      </c>
      <c r="E121" s="144"/>
      <c r="F121" s="6"/>
      <c r="G121" s="6"/>
      <c r="H121" s="103" t="s">
        <v>508</v>
      </c>
      <c r="I121" s="224"/>
      <c r="J121" s="225"/>
      <c r="K121" s="103" t="str">
        <f>IF(ISBLANK(I121),IF(A121=0,"Not Allowed","◄ Health, Dependent, Both, or Not Offered?"),IF(A121=0,"◄ Clear this Entry",VLOOKUP(C121,FLEX_OPTS,2,FALSE)))</f>
        <v>◄ Health, Dependent, Both, or Not Offered?</v>
      </c>
      <c r="L121" s="336"/>
      <c r="N121" s="103"/>
      <c r="O121" s="188" t="s">
        <v>722</v>
      </c>
      <c r="P121" s="188" t="s">
        <v>722</v>
      </c>
      <c r="Q121" s="239">
        <f>IF(OR(ISBLANK(I121),C121="N"),0,FSA_FEE)</f>
        <v>0</v>
      </c>
      <c r="S121" s="104"/>
      <c r="T121" s="152"/>
      <c r="V121"/>
    </row>
    <row r="122" spans="1:24" ht="11.25" customHeight="1" x14ac:dyDescent="0.2">
      <c r="B122" s="142"/>
      <c r="C122" s="87"/>
      <c r="D122" s="176"/>
      <c r="E122" s="144"/>
      <c r="F122" s="6"/>
      <c r="G122" s="6"/>
      <c r="H122" s="103" t="s">
        <v>518</v>
      </c>
      <c r="I122" s="292"/>
      <c r="J122" s="111"/>
      <c r="K122" s="103"/>
      <c r="L122" s="103"/>
      <c r="N122" s="338" t="s">
        <v>642</v>
      </c>
      <c r="O122" s="413">
        <f>2*P122</f>
        <v>0</v>
      </c>
      <c r="P122" s="413">
        <f>RSP_MATCH</f>
        <v>0</v>
      </c>
      <c r="Q122" s="188" t="s">
        <v>643</v>
      </c>
      <c r="S122" s="104"/>
      <c r="T122" s="152"/>
      <c r="V122"/>
    </row>
    <row r="123" spans="1:24" ht="11.25" customHeight="1" x14ac:dyDescent="0.2">
      <c r="D123" s="444"/>
      <c r="E123" s="144"/>
      <c r="F123" s="6"/>
      <c r="G123" s="6" t="s">
        <v>506</v>
      </c>
      <c r="H123" s="168"/>
      <c r="I123" s="6"/>
      <c r="J123" s="111"/>
      <c r="K123" s="103" t="s">
        <v>552</v>
      </c>
      <c r="L123" s="317"/>
      <c r="M123" s="337"/>
      <c r="N123" s="338"/>
      <c r="O123" s="316"/>
      <c r="P123" s="316"/>
      <c r="Q123" s="316"/>
      <c r="R123" s="316"/>
      <c r="S123" s="104"/>
      <c r="T123" s="152"/>
      <c r="V123" s="87"/>
      <c r="W123" s="103"/>
      <c r="X123" s="7"/>
    </row>
    <row r="124" spans="1:24" ht="11.25" customHeight="1" thickBot="1" x14ac:dyDescent="0.25">
      <c r="A124" s="142">
        <f>IF(OR(C$84="P",C$84="M",C$84="O", C$85="O"),2,0)</f>
        <v>0</v>
      </c>
      <c r="B124" s="142">
        <f>IF(ISBLANK(I124),IF(A124=2,1,0),IF(A124=0,2,0))</f>
        <v>0</v>
      </c>
      <c r="C124" s="87"/>
      <c r="D124" s="176" t="s">
        <v>677</v>
      </c>
      <c r="E124" s="144"/>
      <c r="F124" s="6"/>
      <c r="G124" s="6"/>
      <c r="H124" s="103" t="s">
        <v>442</v>
      </c>
      <c r="I124" s="224"/>
      <c r="J124" s="225"/>
      <c r="K124" s="103" t="str">
        <f>IF(B124=1,"◄ Offered or Not?",IF(B124=2,"◄ Clear this entry",IF(ISBLANK(I124),"Not Allowed",IF(I124="N","Not Offered","Offered"))))</f>
        <v>Not Allowed</v>
      </c>
      <c r="L124" s="336"/>
      <c r="M124" s="103"/>
      <c r="N124" s="103"/>
      <c r="O124" s="188" t="s">
        <v>722</v>
      </c>
      <c r="P124" s="188" t="s">
        <v>722</v>
      </c>
      <c r="Q124" s="188" t="s">
        <v>722</v>
      </c>
      <c r="S124" s="104"/>
      <c r="T124" s="152"/>
      <c r="V124" s="719" t="s">
        <v>426</v>
      </c>
      <c r="W124" s="719"/>
      <c r="X124" s="719"/>
    </row>
    <row r="125" spans="1:24" ht="11.25" customHeight="1" x14ac:dyDescent="0.2">
      <c r="A125" s="142">
        <f>IF(AND(EFFECTIVE_SALARY&gt;110000,OR(C$84="P",C$84="M",C$84="O", C$85="O")),2,0)</f>
        <v>0</v>
      </c>
      <c r="B125" s="142">
        <f>IF(ISBLANK(I125),IF(A125=2,1,0),IF(A125=0,2,0))</f>
        <v>0</v>
      </c>
      <c r="C125" s="87"/>
      <c r="D125" s="176" t="s">
        <v>678</v>
      </c>
      <c r="E125" s="144"/>
      <c r="F125" s="6"/>
      <c r="G125" s="6"/>
      <c r="H125" s="103" t="s">
        <v>443</v>
      </c>
      <c r="I125" s="224"/>
      <c r="J125" s="225"/>
      <c r="K125" s="103" t="str">
        <f>IF(B125=1,"◄ Offered or Not?",IF(B125=2,"◄ Clear this entry",IF(ISBLANK(I125),"Not Allowed",IF(I125="N","Not Offered","Offered"))))</f>
        <v>Not Allowed</v>
      </c>
      <c r="L125" s="336"/>
      <c r="M125" s="103"/>
      <c r="N125" s="103"/>
      <c r="O125" s="188" t="s">
        <v>722</v>
      </c>
      <c r="P125" s="188" t="s">
        <v>722</v>
      </c>
      <c r="Q125" s="188" t="s">
        <v>722</v>
      </c>
      <c r="S125" s="104"/>
      <c r="T125" s="152"/>
      <c r="V125" s="666" t="s">
        <v>490</v>
      </c>
      <c r="W125" s="667"/>
      <c r="X125" s="668"/>
    </row>
    <row r="126" spans="1:24" ht="11.25" customHeight="1" x14ac:dyDescent="0.2">
      <c r="D126" s="444" t="s">
        <v>715</v>
      </c>
      <c r="E126" s="102"/>
      <c r="F126" s="6" t="s">
        <v>515</v>
      </c>
      <c r="I126" s="6"/>
      <c r="N126" s="103" t="s">
        <v>284</v>
      </c>
      <c r="O126" s="288">
        <f>O89</f>
        <v>0</v>
      </c>
      <c r="P126" s="288">
        <v>0</v>
      </c>
      <c r="Q126" s="288">
        <f>Q89</f>
        <v>0</v>
      </c>
      <c r="S126" s="104"/>
      <c r="T126" s="152"/>
      <c r="V126" s="307" t="s">
        <v>427</v>
      </c>
      <c r="W126" s="207" t="s">
        <v>428</v>
      </c>
      <c r="X126" s="342"/>
    </row>
    <row r="127" spans="1:24" ht="11.25" customHeight="1" x14ac:dyDescent="0.2">
      <c r="D127" s="444"/>
      <c r="E127" s="102"/>
      <c r="F127" s="6"/>
      <c r="H127" s="103" t="s">
        <v>516</v>
      </c>
      <c r="I127" s="6"/>
      <c r="N127" s="103" t="s">
        <v>17</v>
      </c>
      <c r="O127" s="288">
        <f>O126+O97+O105+SUM(O111:O122)</f>
        <v>0</v>
      </c>
      <c r="P127" s="288">
        <f>P126+P97+P105+SUM(P111:P122)</f>
        <v>0</v>
      </c>
      <c r="Q127" s="288">
        <f>Q126+Q97+Q105+SUM(Q111:Q122)</f>
        <v>0</v>
      </c>
      <c r="S127" s="104"/>
      <c r="T127" s="152"/>
      <c r="V127" s="307" t="s">
        <v>429</v>
      </c>
      <c r="W127" s="207" t="s">
        <v>430</v>
      </c>
      <c r="X127" s="342"/>
    </row>
    <row r="128" spans="1:24" ht="11.25" customHeight="1" thickBot="1" x14ac:dyDescent="0.25">
      <c r="D128" s="444"/>
      <c r="E128" s="105"/>
      <c r="F128" s="136"/>
      <c r="G128" s="106"/>
      <c r="H128" s="110"/>
      <c r="I128" s="699"/>
      <c r="J128" s="699"/>
      <c r="K128" s="699"/>
      <c r="L128" s="113"/>
      <c r="M128" s="106"/>
      <c r="N128" s="106"/>
      <c r="O128" s="237" t="s">
        <v>517</v>
      </c>
      <c r="P128" s="110"/>
      <c r="Q128" s="110"/>
      <c r="R128" s="110"/>
      <c r="S128" s="346"/>
      <c r="T128" s="152"/>
      <c r="V128" s="363" t="s">
        <v>429</v>
      </c>
      <c r="W128" s="207" t="s">
        <v>431</v>
      </c>
      <c r="X128" s="342"/>
    </row>
    <row r="129" spans="1:27" ht="11.25" customHeight="1" thickBot="1" x14ac:dyDescent="0.25">
      <c r="D129" s="444"/>
      <c r="E129" s="152"/>
      <c r="F129" s="152"/>
      <c r="G129" s="152"/>
      <c r="H129" s="152"/>
      <c r="I129" s="152"/>
      <c r="J129" s="152"/>
      <c r="K129" s="152"/>
      <c r="L129" s="152"/>
      <c r="M129" s="152"/>
      <c r="N129" s="152"/>
      <c r="O129" s="152"/>
      <c r="P129" s="152"/>
      <c r="Q129" s="152"/>
      <c r="R129" s="152"/>
      <c r="S129" s="152"/>
      <c r="T129" s="152"/>
      <c r="V129" s="364">
        <v>0</v>
      </c>
      <c r="W129" s="296" t="s">
        <v>432</v>
      </c>
      <c r="X129" s="342"/>
    </row>
    <row r="130" spans="1:27" ht="16.5" thickBot="1" x14ac:dyDescent="0.3">
      <c r="D130" s="444"/>
      <c r="E130" s="172" t="s">
        <v>499</v>
      </c>
      <c r="F130" s="152"/>
      <c r="G130" s="152"/>
      <c r="H130" s="152"/>
      <c r="I130" s="152"/>
      <c r="J130" s="152"/>
      <c r="K130" s="152"/>
      <c r="L130" s="152"/>
      <c r="M130" s="152"/>
      <c r="N130" s="152"/>
      <c r="O130" s="152"/>
      <c r="P130" s="152"/>
      <c r="Q130" s="390" t="s">
        <v>315</v>
      </c>
      <c r="R130" s="152"/>
      <c r="S130" s="152"/>
      <c r="T130" s="152"/>
      <c r="V130" s="364">
        <v>1</v>
      </c>
      <c r="W130" s="296" t="s">
        <v>637</v>
      </c>
      <c r="X130" s="342"/>
    </row>
    <row r="131" spans="1:27" ht="11.25" customHeight="1" x14ac:dyDescent="0.2">
      <c r="A131">
        <v>2</v>
      </c>
      <c r="B131" s="142">
        <f>IF(ISBLANK(I131),1,0)</f>
        <v>1</v>
      </c>
      <c r="D131" s="176" t="s">
        <v>657</v>
      </c>
      <c r="E131" s="109"/>
      <c r="F131" s="98" t="s">
        <v>304</v>
      </c>
      <c r="G131" s="100"/>
      <c r="H131" s="100"/>
      <c r="I131" s="676"/>
      <c r="J131" s="676"/>
      <c r="K131" s="676"/>
      <c r="L131" s="100"/>
      <c r="M131" s="98" t="s">
        <v>307</v>
      </c>
      <c r="N131" s="100"/>
      <c r="O131" s="100"/>
      <c r="P131" s="100"/>
      <c r="Q131" s="130">
        <f>I131</f>
        <v>0</v>
      </c>
      <c r="R131" s="100"/>
      <c r="S131" s="101"/>
      <c r="T131" s="152"/>
      <c r="V131" s="364">
        <v>2</v>
      </c>
      <c r="W131" s="296" t="s">
        <v>433</v>
      </c>
      <c r="X131" s="342"/>
    </row>
    <row r="132" spans="1:27" ht="11.25" customHeight="1" thickBot="1" x14ac:dyDescent="0.25">
      <c r="A132">
        <v>2</v>
      </c>
      <c r="B132" s="142">
        <f>IF(ISBLANK(I132),1,0)</f>
        <v>1</v>
      </c>
      <c r="D132" s="176" t="s">
        <v>658</v>
      </c>
      <c r="E132" s="102"/>
      <c r="F132" s="103" t="s">
        <v>305</v>
      </c>
      <c r="I132" s="674"/>
      <c r="J132" s="674"/>
      <c r="K132" s="674"/>
      <c r="M132" s="701" t="e">
        <f>IF(P_CLASS&gt;"O",0,PE_MIN*PCT_FULL_TIME)</f>
        <v>#N/A</v>
      </c>
      <c r="N132" s="701"/>
      <c r="O132" t="s">
        <v>284</v>
      </c>
      <c r="Q132" s="132">
        <f>I132</f>
        <v>0</v>
      </c>
      <c r="S132" s="104"/>
      <c r="T132" s="152"/>
      <c r="V132" s="309" t="s">
        <v>434</v>
      </c>
      <c r="W132" s="365" t="s">
        <v>435</v>
      </c>
      <c r="X132" s="366"/>
    </row>
    <row r="133" spans="1:27" ht="11.25" customHeight="1" x14ac:dyDescent="0.2">
      <c r="A133">
        <v>2</v>
      </c>
      <c r="B133" s="142">
        <f>IF(ISBLANK(I133),1,0)</f>
        <v>1</v>
      </c>
      <c r="D133" s="176" t="s">
        <v>659</v>
      </c>
      <c r="E133" s="102"/>
      <c r="F133" s="103" t="s">
        <v>306</v>
      </c>
      <c r="I133" s="674"/>
      <c r="J133" s="674"/>
      <c r="K133" s="674"/>
      <c r="M133" s="701" t="e">
        <f>IF(P_CLASS&gt;"O",0,CE_ALLOW_MIN*PCT_FULL_TIME)</f>
        <v>#N/A</v>
      </c>
      <c r="N133" s="701"/>
      <c r="O133" t="s">
        <v>284</v>
      </c>
      <c r="Q133" s="132">
        <f>I133</f>
        <v>0</v>
      </c>
      <c r="S133" s="104"/>
      <c r="T133" s="152"/>
      <c r="V133" s="666" t="s">
        <v>491</v>
      </c>
      <c r="W133" s="667"/>
      <c r="X133" s="668"/>
    </row>
    <row r="134" spans="1:27" ht="11.25" customHeight="1" x14ac:dyDescent="0.2">
      <c r="A134">
        <v>1</v>
      </c>
      <c r="D134" s="176" t="s">
        <v>660</v>
      </c>
      <c r="E134" s="102"/>
      <c r="F134" s="103" t="s">
        <v>329</v>
      </c>
      <c r="I134" s="674"/>
      <c r="J134" s="674"/>
      <c r="K134" s="674"/>
      <c r="Q134" s="132">
        <f>I134</f>
        <v>0</v>
      </c>
      <c r="S134" s="104"/>
      <c r="T134" s="152"/>
      <c r="V134" s="364">
        <v>0</v>
      </c>
      <c r="W134" s="189" t="s">
        <v>436</v>
      </c>
      <c r="X134" s="308"/>
    </row>
    <row r="135" spans="1:27" ht="11.25" customHeight="1" x14ac:dyDescent="0.2">
      <c r="A135" s="142">
        <f>IF(ISBLANK(I134),0,2)</f>
        <v>0</v>
      </c>
      <c r="B135" s="142">
        <f>IF(ISBLANK(I135),IF(A135=2,1,0),IF(A135=0,2,0))</f>
        <v>0</v>
      </c>
      <c r="D135" s="176" t="s">
        <v>661</v>
      </c>
      <c r="E135" s="102"/>
      <c r="G135" s="103" t="s">
        <v>328</v>
      </c>
      <c r="I135" s="688"/>
      <c r="J135" s="688"/>
      <c r="K135" s="688"/>
      <c r="L135" s="688"/>
      <c r="M135" s="688"/>
      <c r="N135" s="688"/>
      <c r="O135" s="103" t="str">
        <f>IF(B135=2,"◄ Enter the amount of this allowance in the line above.","")</f>
        <v/>
      </c>
      <c r="Q135" s="132"/>
      <c r="S135" s="104"/>
      <c r="T135" s="152"/>
      <c r="V135" s="364">
        <v>1</v>
      </c>
      <c r="W135" s="189" t="s">
        <v>369</v>
      </c>
      <c r="X135" s="367"/>
    </row>
    <row r="136" spans="1:27" ht="11.25" customHeight="1" x14ac:dyDescent="0.2">
      <c r="A136" s="142">
        <f>IF(ISBLANK(I134),0,1)</f>
        <v>0</v>
      </c>
      <c r="B136" s="142">
        <f>IF(ISBLANK(I136),IF(A136=2,1,0),IF(A136=0,2,0))</f>
        <v>0</v>
      </c>
      <c r="D136" s="176" t="s">
        <v>662</v>
      </c>
      <c r="E136" s="102"/>
      <c r="G136" s="103" t="s">
        <v>328</v>
      </c>
      <c r="I136" s="688"/>
      <c r="J136" s="688"/>
      <c r="K136" s="688"/>
      <c r="L136" s="688"/>
      <c r="M136" s="688"/>
      <c r="N136" s="688"/>
      <c r="O136" s="103" t="str">
        <f>IF(B136=2,"◄ Enter the amount of this allowance in the line above.","")</f>
        <v/>
      </c>
      <c r="Q136" s="132"/>
      <c r="S136" s="104"/>
      <c r="T136" s="152"/>
      <c r="V136" s="364">
        <v>2</v>
      </c>
      <c r="W136" s="189" t="s">
        <v>437</v>
      </c>
      <c r="X136" s="368"/>
    </row>
    <row r="137" spans="1:27" ht="11.25" customHeight="1" thickBot="1" x14ac:dyDescent="0.25">
      <c r="D137" s="176" t="s">
        <v>663</v>
      </c>
      <c r="E137" s="102"/>
      <c r="F137" s="6" t="s">
        <v>308</v>
      </c>
      <c r="Q137" s="191">
        <f>SUM(Q131:Q136)</f>
        <v>0</v>
      </c>
      <c r="S137" s="104"/>
      <c r="T137" s="152"/>
      <c r="V137" s="309" t="s">
        <v>434</v>
      </c>
      <c r="W137" s="369" t="s">
        <v>438</v>
      </c>
      <c r="X137" s="370"/>
    </row>
    <row r="138" spans="1:27" ht="11.25" customHeight="1" x14ac:dyDescent="0.2">
      <c r="D138" s="444"/>
      <c r="E138" s="190"/>
      <c r="F138" s="103" t="s">
        <v>309</v>
      </c>
      <c r="I138" s="6"/>
      <c r="S138" s="104"/>
      <c r="T138" s="152"/>
      <c r="V138" s="666" t="s">
        <v>492</v>
      </c>
      <c r="W138" s="667"/>
      <c r="X138" s="668"/>
      <c r="AA138" s="103"/>
    </row>
    <row r="139" spans="1:27" ht="11.25" customHeight="1" x14ac:dyDescent="0.2">
      <c r="A139">
        <v>1</v>
      </c>
      <c r="B139" s="142">
        <f>IF(ISBLANK(I139),1,0)</f>
        <v>1</v>
      </c>
      <c r="D139" s="176" t="s">
        <v>607</v>
      </c>
      <c r="E139" s="102"/>
      <c r="F139" s="103"/>
      <c r="G139" s="103" t="s">
        <v>310</v>
      </c>
      <c r="I139" s="198"/>
      <c r="K139" s="103" t="s">
        <v>312</v>
      </c>
      <c r="M139" s="298" t="e">
        <f>IF(P_CLASS&gt;"O",0,CE_MIN)</f>
        <v>#N/A</v>
      </c>
      <c r="N139" t="s">
        <v>284</v>
      </c>
      <c r="S139" s="104"/>
      <c r="T139" s="152"/>
      <c r="V139" s="371"/>
      <c r="W139" s="297" t="s">
        <v>439</v>
      </c>
      <c r="X139" s="342"/>
      <c r="AA139" s="103"/>
    </row>
    <row r="140" spans="1:27" ht="11.25" customHeight="1" x14ac:dyDescent="0.2">
      <c r="A140">
        <v>1</v>
      </c>
      <c r="B140" s="142">
        <f>IF(ISBLANK(I140),1,0)</f>
        <v>1</v>
      </c>
      <c r="D140" s="176" t="s">
        <v>664</v>
      </c>
      <c r="E140" s="102"/>
      <c r="F140" s="103"/>
      <c r="G140" s="103" t="s">
        <v>311</v>
      </c>
      <c r="I140" s="198"/>
      <c r="K140" s="103" t="s">
        <v>312</v>
      </c>
      <c r="M140" s="298" t="e">
        <f>IF(P_CLASS&gt;"O",0,VAC_MIN)</f>
        <v>#N/A</v>
      </c>
      <c r="N140" t="s">
        <v>284</v>
      </c>
      <c r="P140" s="345" t="s">
        <v>314</v>
      </c>
      <c r="Q140" s="345" t="s">
        <v>315</v>
      </c>
      <c r="S140" s="104"/>
      <c r="T140" s="152"/>
      <c r="V140" s="372"/>
      <c r="W140" s="297" t="s">
        <v>440</v>
      </c>
      <c r="X140" s="342"/>
    </row>
    <row r="141" spans="1:27" ht="11.25" customHeight="1" thickBot="1" x14ac:dyDescent="0.25">
      <c r="D141" s="176" t="s">
        <v>665</v>
      </c>
      <c r="E141" s="102"/>
      <c r="F141" s="6" t="s">
        <v>422</v>
      </c>
      <c r="G141" s="103"/>
      <c r="I141" s="103" t="s">
        <v>559</v>
      </c>
      <c r="K141" s="103"/>
      <c r="M141" s="238"/>
      <c r="N141" s="111"/>
      <c r="O141" s="344" t="s">
        <v>514</v>
      </c>
      <c r="P141" s="288">
        <f>P126</f>
        <v>0</v>
      </c>
      <c r="Q141" s="288">
        <f>EFFECTIVE_SALARY+BOP_MIN_DUES+ALLOWANCES</f>
        <v>0</v>
      </c>
      <c r="S141" s="104"/>
      <c r="T141" s="152"/>
      <c r="V141" s="309" t="s">
        <v>441</v>
      </c>
      <c r="W141" s="373" t="s">
        <v>493</v>
      </c>
      <c r="X141" s="366"/>
    </row>
    <row r="142" spans="1:27" ht="11.25" customHeight="1" x14ac:dyDescent="0.2">
      <c r="D142" s="444"/>
      <c r="E142" s="102"/>
      <c r="F142" s="6"/>
      <c r="G142" s="103"/>
      <c r="H142" s="103"/>
      <c r="I142" s="6"/>
      <c r="K142" s="111" t="str">
        <f>IF(MANSE,"(Including Fair Rental Value of","")</f>
        <v/>
      </c>
      <c r="L142" s="132">
        <f>IF(MANSE,I$54,0)</f>
        <v>0</v>
      </c>
      <c r="M142" s="103" t="str">
        <f>IF(MANSE,"for Manse)","")</f>
        <v/>
      </c>
      <c r="N142" s="103"/>
      <c r="O142" s="344" t="s">
        <v>513</v>
      </c>
      <c r="P142" s="288">
        <f>P127</f>
        <v>0</v>
      </c>
      <c r="Q142" s="288">
        <f>EFFECTIVE_SALARY+BOP_DUES+ALLOWANCES</f>
        <v>0</v>
      </c>
      <c r="S142" s="104"/>
      <c r="T142" s="152"/>
      <c r="V142" s="666" t="s">
        <v>486</v>
      </c>
      <c r="W142" s="667"/>
      <c r="X142" s="668"/>
    </row>
    <row r="143" spans="1:27" ht="11.25" customHeight="1" thickBot="1" x14ac:dyDescent="0.25">
      <c r="D143" s="444"/>
      <c r="E143" s="105"/>
      <c r="F143" s="136"/>
      <c r="G143" s="136" t="s">
        <v>313</v>
      </c>
      <c r="H143" s="106"/>
      <c r="I143" s="136"/>
      <c r="J143" s="106"/>
      <c r="K143" s="451">
        <f>PCT_YEAR</f>
        <v>1</v>
      </c>
      <c r="L143" s="110" t="s">
        <v>322</v>
      </c>
      <c r="M143" s="291"/>
      <c r="N143" s="112"/>
      <c r="O143" s="247"/>
      <c r="P143" s="110"/>
      <c r="Q143" s="137">
        <f>Q142*K143</f>
        <v>0</v>
      </c>
      <c r="R143" s="106"/>
      <c r="S143" s="108"/>
      <c r="T143" s="152"/>
      <c r="V143" s="726" t="s">
        <v>487</v>
      </c>
      <c r="W143" s="727"/>
      <c r="X143" s="728"/>
    </row>
    <row r="144" spans="1:27" ht="11.25" customHeight="1" x14ac:dyDescent="0.2">
      <c r="D144" s="444"/>
      <c r="E144" s="152"/>
      <c r="F144" s="152"/>
      <c r="G144" s="152"/>
      <c r="H144" s="152"/>
      <c r="I144" s="152"/>
      <c r="J144" s="152"/>
      <c r="K144" s="152"/>
      <c r="L144" s="152"/>
      <c r="M144" s="152"/>
      <c r="N144" s="152"/>
      <c r="O144" s="152"/>
      <c r="P144" s="152"/>
      <c r="Q144" s="152"/>
      <c r="R144" s="152"/>
      <c r="S144" s="152"/>
      <c r="T144" s="152"/>
      <c r="V144" s="720" t="s">
        <v>488</v>
      </c>
      <c r="W144" s="721"/>
      <c r="X144" s="722"/>
    </row>
    <row r="145" spans="1:24" ht="16.5" thickBot="1" x14ac:dyDescent="0.3">
      <c r="D145" s="444"/>
      <c r="E145" s="172" t="s">
        <v>594</v>
      </c>
      <c r="F145" s="152"/>
      <c r="G145" s="152"/>
      <c r="H145" s="152"/>
      <c r="I145" s="152"/>
      <c r="J145" s="152"/>
      <c r="K145" s="152"/>
      <c r="L145" s="152"/>
      <c r="M145" s="152"/>
      <c r="N145" s="152"/>
      <c r="O145" s="152"/>
      <c r="P145" s="152"/>
      <c r="Q145" s="152"/>
      <c r="R145" s="152"/>
      <c r="S145" s="152"/>
      <c r="T145" s="152"/>
      <c r="V145" s="729"/>
      <c r="W145" s="730"/>
      <c r="X145" s="731"/>
    </row>
    <row r="146" spans="1:24" ht="11.25" customHeight="1" x14ac:dyDescent="0.2">
      <c r="D146" s="444"/>
      <c r="E146" s="109"/>
      <c r="F146" s="99" t="s">
        <v>599</v>
      </c>
      <c r="G146" s="99"/>
      <c r="H146" s="99"/>
      <c r="I146" s="100"/>
      <c r="J146" s="100"/>
      <c r="K146" s="100"/>
      <c r="L146" s="98"/>
      <c r="M146" s="100"/>
      <c r="N146" s="100"/>
      <c r="O146" s="100"/>
      <c r="P146" s="194" t="s">
        <v>351</v>
      </c>
      <c r="Q146" s="192">
        <f>EFFECTIVE_SALARY+Q127+Q137</f>
        <v>0</v>
      </c>
      <c r="R146" s="100"/>
      <c r="S146" s="101"/>
      <c r="T146" s="152"/>
      <c r="V146" s="720" t="s">
        <v>489</v>
      </c>
      <c r="W146" s="721"/>
      <c r="X146" s="722"/>
    </row>
    <row r="147" spans="1:24" ht="11.25" customHeight="1" thickBot="1" x14ac:dyDescent="0.25">
      <c r="D147" s="444"/>
      <c r="E147" s="102"/>
      <c r="F147" s="103" t="s">
        <v>11</v>
      </c>
      <c r="H147" s="103" t="s">
        <v>325</v>
      </c>
      <c r="P147" s="111" t="str">
        <f>IF(MANSE,"Fair Rental Value of Manse","(no Manse)")</f>
        <v>(no Manse)</v>
      </c>
      <c r="Q147" s="200">
        <f>IF(MANSE,I$54,0)</f>
        <v>0</v>
      </c>
      <c r="S147" s="104"/>
      <c r="T147" s="152"/>
      <c r="V147" s="723"/>
      <c r="W147" s="724"/>
      <c r="X147" s="725"/>
    </row>
    <row r="148" spans="1:24" ht="11.25" customHeight="1" x14ac:dyDescent="0.2">
      <c r="A148" s="142">
        <f>IF(AND(NCHURCHES&gt;=2,MANSE),2,0)</f>
        <v>0</v>
      </c>
      <c r="B148" s="142">
        <f>IF(ISBLANK(I148),IF(A148=2,1,0),IF(A148=0,2,0))</f>
        <v>0</v>
      </c>
      <c r="D148" s="176" t="s">
        <v>657</v>
      </c>
      <c r="E148" s="102"/>
      <c r="H148" s="103" t="s">
        <v>326</v>
      </c>
      <c r="I148" s="698"/>
      <c r="J148" s="698"/>
      <c r="K148" s="698"/>
      <c r="L148" s="698"/>
      <c r="M148" s="103" t="str">
        <f>IF(B148=2,"◄ Clear this entry","")</f>
        <v/>
      </c>
      <c r="P148" s="111" t="s">
        <v>316</v>
      </c>
      <c r="Q148" s="134">
        <f>Q146-Q147</f>
        <v>0</v>
      </c>
      <c r="S148" s="104"/>
      <c r="T148" s="152"/>
      <c r="V148" s="382"/>
      <c r="W148" s="382"/>
      <c r="X148" s="382"/>
    </row>
    <row r="149" spans="1:24" ht="11.25" customHeight="1" x14ac:dyDescent="0.2">
      <c r="D149" s="444"/>
      <c r="E149" s="102"/>
      <c r="F149" s="6" t="s">
        <v>327</v>
      </c>
      <c r="G149" s="6"/>
      <c r="H149" s="6"/>
      <c r="I149" s="6"/>
      <c r="J149" s="6"/>
      <c r="K149" s="6"/>
      <c r="L149" s="6"/>
      <c r="M149" s="6"/>
      <c r="N149" s="6"/>
      <c r="O149" s="96" t="s">
        <v>317</v>
      </c>
      <c r="P149" s="96" t="s">
        <v>321</v>
      </c>
      <c r="Q149" s="96" t="s">
        <v>323</v>
      </c>
      <c r="S149" s="104"/>
      <c r="T149" s="152"/>
    </row>
    <row r="150" spans="1:24" ht="11.25" customHeight="1" x14ac:dyDescent="0.2">
      <c r="A150" s="142">
        <f>IF(NCHURCHES&lt;2,0,2)</f>
        <v>0</v>
      </c>
      <c r="B150" s="142">
        <f>IF(ISBLANK(I150),IF(A150=2,1,0),IF(A150=0,2,0))</f>
        <v>0</v>
      </c>
      <c r="D150" s="176" t="s">
        <v>658</v>
      </c>
      <c r="E150" s="102"/>
      <c r="G150">
        <f>I$18</f>
        <v>0</v>
      </c>
      <c r="I150" s="164"/>
      <c r="K150" s="290" t="e">
        <f>I150/I$154</f>
        <v>#DIV/0!</v>
      </c>
      <c r="L150" s="103" t="str">
        <f>IF(B150=2,"◄ Clear this entry","")</f>
        <v/>
      </c>
      <c r="M150" s="6"/>
      <c r="O150" s="134" t="e">
        <f>Q$146*K150</f>
        <v>#DIV/0!</v>
      </c>
      <c r="P150" s="134">
        <f>IF(I$18=I$148,Q$147,0)</f>
        <v>0</v>
      </c>
      <c r="Q150" s="134" t="e">
        <f>O150-P150</f>
        <v>#DIV/0!</v>
      </c>
      <c r="S150" s="104"/>
      <c r="T150" s="152"/>
    </row>
    <row r="151" spans="1:24" ht="11.25" customHeight="1" x14ac:dyDescent="0.2">
      <c r="A151" s="142">
        <f>IF(NCHURCHES&lt;2,0,2)</f>
        <v>0</v>
      </c>
      <c r="B151" s="142">
        <f>IF(ISBLANK(I151),IF(A151=2,1,0),IF(A151=0,2,0))</f>
        <v>0</v>
      </c>
      <c r="D151" s="176" t="s">
        <v>659</v>
      </c>
      <c r="E151" s="102"/>
      <c r="G151">
        <f>I$19</f>
        <v>0</v>
      </c>
      <c r="I151" s="164"/>
      <c r="K151" s="290" t="e">
        <f>I151/I$154</f>
        <v>#DIV/0!</v>
      </c>
      <c r="L151" s="103" t="str">
        <f>IF(B151=2,"◄ Clear this entry","")</f>
        <v/>
      </c>
      <c r="M151" s="6"/>
      <c r="O151" s="134" t="e">
        <f>Q$146*K151</f>
        <v>#DIV/0!</v>
      </c>
      <c r="P151" s="134">
        <f>IF(I$19=I$148,Q$147,0)</f>
        <v>0</v>
      </c>
      <c r="Q151" s="134" t="e">
        <f>O151-P151</f>
        <v>#DIV/0!</v>
      </c>
      <c r="S151" s="104"/>
      <c r="T151" s="152"/>
    </row>
    <row r="152" spans="1:24" ht="11.25" customHeight="1" x14ac:dyDescent="0.2">
      <c r="A152" s="142">
        <f>IF(NCHURCHES&lt;3,0,2)</f>
        <v>0</v>
      </c>
      <c r="B152" s="142">
        <f>IF(ISBLANK(I152),IF(A152=2,1,0),IF(A152=0,2,0))</f>
        <v>0</v>
      </c>
      <c r="D152" s="176" t="s">
        <v>660</v>
      </c>
      <c r="E152" s="102"/>
      <c r="G152">
        <f>I$20</f>
        <v>0</v>
      </c>
      <c r="I152" s="164"/>
      <c r="K152" s="290" t="e">
        <f>I152/I$154</f>
        <v>#DIV/0!</v>
      </c>
      <c r="L152" s="103" t="str">
        <f>IF(B152=2,"◄ Clear this entry","")</f>
        <v/>
      </c>
      <c r="M152" s="6"/>
      <c r="O152" s="134" t="e">
        <f>Q$146*K152</f>
        <v>#DIV/0!</v>
      </c>
      <c r="P152" s="134">
        <f>IF(I$20=I$148,Q$147,0)</f>
        <v>0</v>
      </c>
      <c r="Q152" s="134" t="e">
        <f>O152-P152</f>
        <v>#DIV/0!</v>
      </c>
      <c r="S152" s="104"/>
      <c r="T152" s="152"/>
    </row>
    <row r="153" spans="1:24" ht="11.25" customHeight="1" x14ac:dyDescent="0.2">
      <c r="A153" s="142">
        <f>IF(NCHURCHES&lt;4,0,2)</f>
        <v>0</v>
      </c>
      <c r="B153" s="142">
        <f>IF(ISBLANK(I153),IF(A153=2,1,0),IF(A153=0,2,0))</f>
        <v>0</v>
      </c>
      <c r="D153" s="176" t="s">
        <v>661</v>
      </c>
      <c r="E153" s="102"/>
      <c r="G153">
        <f>I$21</f>
        <v>0</v>
      </c>
      <c r="I153" s="164"/>
      <c r="K153" s="290" t="e">
        <f>I153/I$154</f>
        <v>#DIV/0!</v>
      </c>
      <c r="L153" s="103" t="str">
        <f>IF(B153=2,"◄ Clear this entry","")</f>
        <v/>
      </c>
      <c r="M153" s="6"/>
      <c r="O153" s="134" t="e">
        <f>Q$146*K153</f>
        <v>#DIV/0!</v>
      </c>
      <c r="P153" s="134">
        <f>IF(I$21=I$148,Q$147,0)</f>
        <v>0</v>
      </c>
      <c r="Q153" s="134" t="e">
        <f>O153-P153</f>
        <v>#DIV/0!</v>
      </c>
      <c r="S153" s="104"/>
      <c r="T153" s="152"/>
    </row>
    <row r="154" spans="1:24" ht="11.25" customHeight="1" thickBot="1" x14ac:dyDescent="0.25">
      <c r="D154" s="444"/>
      <c r="E154" s="105"/>
      <c r="F154" s="106"/>
      <c r="G154" s="106"/>
      <c r="H154" s="112" t="s">
        <v>352</v>
      </c>
      <c r="I154" s="106">
        <f>SUM(I150:I153)</f>
        <v>0</v>
      </c>
      <c r="J154" s="106"/>
      <c r="K154" s="289" t="e">
        <f>SUM(K150:K153)</f>
        <v>#DIV/0!</v>
      </c>
      <c r="L154" s="136"/>
      <c r="M154" s="136"/>
      <c r="N154" s="106"/>
      <c r="O154" s="140" t="e">
        <f>SUM(O150:O153)</f>
        <v>#DIV/0!</v>
      </c>
      <c r="P154" s="140">
        <f>SUM(P150:P153)</f>
        <v>0</v>
      </c>
      <c r="Q154" s="140" t="e">
        <f>SUM(Q150:Q153)</f>
        <v>#DIV/0!</v>
      </c>
      <c r="R154" s="106"/>
      <c r="S154" s="108"/>
      <c r="T154" s="152"/>
    </row>
    <row r="155" spans="1:24" ht="11.25" customHeight="1" x14ac:dyDescent="0.2">
      <c r="D155" s="444"/>
      <c r="E155" s="152"/>
      <c r="F155" s="152"/>
      <c r="G155" s="152"/>
      <c r="H155" s="152"/>
      <c r="I155" s="152"/>
      <c r="J155" s="152"/>
      <c r="K155" s="152"/>
      <c r="L155" s="152"/>
      <c r="M155" s="152"/>
      <c r="N155" s="152"/>
      <c r="O155" s="152"/>
      <c r="P155" s="152"/>
      <c r="Q155" s="152"/>
      <c r="R155" s="152"/>
      <c r="S155" s="152"/>
      <c r="T155" s="152"/>
    </row>
    <row r="156" spans="1:24" ht="16.5" thickBot="1" x14ac:dyDescent="0.3">
      <c r="D156" s="444"/>
      <c r="E156" s="172" t="s">
        <v>585</v>
      </c>
      <c r="F156" s="152"/>
      <c r="G156" s="152"/>
      <c r="H156" s="152"/>
      <c r="I156" s="152"/>
      <c r="J156" s="152"/>
      <c r="K156" s="152"/>
      <c r="L156" s="152"/>
      <c r="M156" s="152"/>
      <c r="N156" s="152"/>
      <c r="O156" s="152"/>
      <c r="P156" s="152"/>
      <c r="Q156" s="152"/>
      <c r="R156" s="152"/>
      <c r="S156" s="152"/>
      <c r="T156" s="152"/>
    </row>
    <row r="157" spans="1:24" ht="15" x14ac:dyDescent="0.25">
      <c r="A157" s="434" t="s">
        <v>644</v>
      </c>
      <c r="B157" s="435"/>
      <c r="C157" s="435"/>
      <c r="D157" s="444"/>
      <c r="E157" s="109"/>
      <c r="F157" s="180" t="str">
        <f>IF(NCHURCHES=1,"For the Church (Employer), report the current approval status of these Terms of Call:","For each of the the Churches (Employers), report the current approval status of these Terms of Call:")</f>
        <v>For each of the the Churches (Employers), report the current approval status of these Terms of Call:</v>
      </c>
      <c r="G157" s="100"/>
      <c r="H157" s="100"/>
      <c r="I157" s="100"/>
      <c r="J157" s="100"/>
      <c r="K157" s="100"/>
      <c r="L157" s="100"/>
      <c r="M157" s="100"/>
      <c r="N157" s="100"/>
      <c r="O157" s="100"/>
      <c r="P157" s="100"/>
      <c r="Q157" s="100"/>
      <c r="R157" s="100"/>
      <c r="S157" s="101"/>
      <c r="T157" s="152"/>
    </row>
    <row r="158" spans="1:24" ht="11.25" customHeight="1" x14ac:dyDescent="0.25">
      <c r="A158" s="436" t="s">
        <v>645</v>
      </c>
      <c r="B158" s="437"/>
      <c r="C158" s="438"/>
      <c r="D158" s="464" t="str">
        <f>IF(ISBLANK(C158),"","◄")</f>
        <v/>
      </c>
      <c r="E158" s="102"/>
      <c r="F158" s="169"/>
      <c r="H158" s="6" t="str">
        <f>CHOOSE(C159,"This Other Employee call is to be approved by the Session or another group to which this authority has been delegated.","This Non-Installed call is to be approved by the Session.","This Installed call is to be approved by the Congregation.")</f>
        <v>This Non-Installed call is to be approved by the Session.</v>
      </c>
      <c r="S158" s="104"/>
      <c r="T158" s="152"/>
    </row>
    <row r="159" spans="1:24" ht="11.25" customHeight="1" x14ac:dyDescent="0.2">
      <c r="C159" s="465">
        <f>IF(ISBLANK(C158),IF(I_STATUS,3,IF(E_STATUS="O",1,2)),C158)</f>
        <v>2</v>
      </c>
      <c r="D159" s="444"/>
      <c r="E159" s="102"/>
      <c r="G159" s="696" t="s">
        <v>542</v>
      </c>
      <c r="H159" s="696"/>
      <c r="I159" s="696" t="s">
        <v>560</v>
      </c>
      <c r="J159" s="696"/>
      <c r="K159" s="696"/>
      <c r="L159" s="358" t="s">
        <v>564</v>
      </c>
      <c r="M159" s="696" t="s">
        <v>562</v>
      </c>
      <c r="N159" s="705"/>
      <c r="O159" s="323" t="s">
        <v>581</v>
      </c>
      <c r="P159" s="323"/>
      <c r="Q159" s="206"/>
      <c r="S159" s="104"/>
      <c r="T159" s="152"/>
      <c r="U159" s="374" t="s">
        <v>567</v>
      </c>
    </row>
    <row r="160" spans="1:24" ht="12.75" hidden="1" x14ac:dyDescent="0.2">
      <c r="A160" s="375"/>
      <c r="B160" s="359"/>
      <c r="C160" s="359"/>
      <c r="D160" s="376"/>
      <c r="E160" s="360"/>
      <c r="F160" s="359"/>
      <c r="G160" s="359"/>
      <c r="H160" s="359"/>
      <c r="I160" s="378"/>
      <c r="J160" s="378"/>
      <c r="K160" s="378"/>
      <c r="L160" s="359"/>
      <c r="M160" s="355"/>
      <c r="N160" s="378"/>
      <c r="O160" s="378"/>
      <c r="P160" s="378"/>
      <c r="Q160" s="359"/>
      <c r="R160" s="359"/>
      <c r="S160" s="361"/>
      <c r="T160" s="359"/>
      <c r="U160" s="376" t="s">
        <v>607</v>
      </c>
    </row>
    <row r="161" spans="1:21" ht="12.75" hidden="1" x14ac:dyDescent="0.2">
      <c r="A161" s="375"/>
      <c r="B161" s="359"/>
      <c r="C161" s="359"/>
      <c r="D161" s="376"/>
      <c r="E161" s="360"/>
      <c r="F161" s="359"/>
      <c r="G161" s="359"/>
      <c r="H161" s="359"/>
      <c r="I161" s="702" t="s">
        <v>484</v>
      </c>
      <c r="J161" s="702"/>
      <c r="K161" s="702"/>
      <c r="L161" s="359"/>
      <c r="M161" s="355" t="s">
        <v>565</v>
      </c>
      <c r="N161" s="378"/>
      <c r="O161" s="378"/>
      <c r="P161" s="378"/>
      <c r="Q161" s="359"/>
      <c r="R161" s="359"/>
      <c r="S161" s="361"/>
      <c r="T161" s="359"/>
      <c r="U161" s="376" t="s">
        <v>607</v>
      </c>
    </row>
    <row r="162" spans="1:21" ht="12.75" hidden="1" x14ac:dyDescent="0.2">
      <c r="A162" s="375"/>
      <c r="B162" s="359"/>
      <c r="C162" s="359"/>
      <c r="D162" s="376"/>
      <c r="E162" s="360"/>
      <c r="F162" s="359"/>
      <c r="G162" s="359"/>
      <c r="H162" s="359"/>
      <c r="I162" s="702" t="s">
        <v>561</v>
      </c>
      <c r="J162" s="702"/>
      <c r="K162" s="702"/>
      <c r="L162" s="359"/>
      <c r="M162" s="355" t="s">
        <v>542</v>
      </c>
      <c r="N162" s="378"/>
      <c r="O162" s="378"/>
      <c r="P162" s="378"/>
      <c r="Q162" s="359"/>
      <c r="R162" s="359"/>
      <c r="S162" s="361"/>
      <c r="T162" s="359"/>
      <c r="U162" s="376" t="s">
        <v>607</v>
      </c>
    </row>
    <row r="163" spans="1:21" ht="12.75" hidden="1" x14ac:dyDescent="0.2">
      <c r="A163" s="375"/>
      <c r="B163" s="359"/>
      <c r="C163" s="359"/>
      <c r="D163" s="376"/>
      <c r="E163" s="360"/>
      <c r="F163" s="359"/>
      <c r="G163" s="359"/>
      <c r="H163" s="359"/>
      <c r="I163" s="702" t="s">
        <v>332</v>
      </c>
      <c r="J163" s="702"/>
      <c r="K163" s="702"/>
      <c r="L163" s="359"/>
      <c r="M163" s="355" t="s">
        <v>563</v>
      </c>
      <c r="N163" s="378"/>
      <c r="O163" s="378"/>
      <c r="P163" s="378"/>
      <c r="Q163" s="359"/>
      <c r="R163" s="359"/>
      <c r="S163" s="361"/>
      <c r="T163" s="359"/>
      <c r="U163" s="376" t="s">
        <v>607</v>
      </c>
    </row>
    <row r="164" spans="1:21" ht="12.75" hidden="1" x14ac:dyDescent="0.2">
      <c r="A164" s="375"/>
      <c r="B164" s="359"/>
      <c r="C164" s="359"/>
      <c r="D164" s="376"/>
      <c r="E164" s="360"/>
      <c r="F164" s="359"/>
      <c r="G164" s="359"/>
      <c r="H164" s="359"/>
      <c r="I164" s="378"/>
      <c r="J164" s="378"/>
      <c r="K164" s="378"/>
      <c r="L164" s="359"/>
      <c r="M164" s="355" t="s">
        <v>700</v>
      </c>
      <c r="N164" s="378"/>
      <c r="O164" s="378"/>
      <c r="P164" s="378"/>
      <c r="Q164" s="359"/>
      <c r="R164" s="359"/>
      <c r="S164" s="361"/>
      <c r="T164" s="359"/>
      <c r="U164" s="376" t="s">
        <v>607</v>
      </c>
    </row>
    <row r="165" spans="1:21" ht="12.75" hidden="1" x14ac:dyDescent="0.2">
      <c r="A165" s="375"/>
      <c r="B165" s="359"/>
      <c r="C165" s="359"/>
      <c r="D165" s="376"/>
      <c r="E165" s="360"/>
      <c r="F165" s="359"/>
      <c r="G165" s="359"/>
      <c r="H165" s="359"/>
      <c r="I165" s="378"/>
      <c r="J165" s="378"/>
      <c r="K165" s="378"/>
      <c r="L165" s="359"/>
      <c r="M165" s="355" t="s">
        <v>566</v>
      </c>
      <c r="N165" s="378"/>
      <c r="O165" s="378"/>
      <c r="P165" s="378"/>
      <c r="Q165" s="359"/>
      <c r="R165" s="359"/>
      <c r="S165" s="361"/>
      <c r="T165" s="359"/>
      <c r="U165" s="376" t="s">
        <v>607</v>
      </c>
    </row>
    <row r="166" spans="1:21" ht="11.25" customHeight="1" x14ac:dyDescent="0.2">
      <c r="A166">
        <v>2</v>
      </c>
      <c r="B166" s="142">
        <f>IF(NOT(OR(RIGHT(M166,1)="►",ISBLANK(O166))),2,IF(A166=0,IF(AND(ISBLANK(I166),ISBLANK(L166),ISBLANK(M166),ISBLANK(O166)),0,2),IF(OR(ISBLANK(I166),ISBLANK(L166),ISBLANK(M166),AND(ISBLANK(O166),RIGHT(M166,1)="►")),1,0)))</f>
        <v>1</v>
      </c>
      <c r="C166">
        <f>IF(I166="Approved",IF(M166="Congregation",3,IF(M166="Session",2,1)),0)</f>
        <v>0</v>
      </c>
      <c r="D166" s="176" t="s">
        <v>657</v>
      </c>
      <c r="E166" s="102"/>
      <c r="F166" s="111"/>
      <c r="G166" s="703">
        <f>I18</f>
        <v>0</v>
      </c>
      <c r="H166" s="703"/>
      <c r="I166" s="695"/>
      <c r="J166" s="695"/>
      <c r="K166" s="695"/>
      <c r="L166" s="362"/>
      <c r="M166" s="695"/>
      <c r="N166" s="695"/>
      <c r="O166" s="704"/>
      <c r="P166" s="704"/>
      <c r="Q166" s="704"/>
      <c r="R166" s="103" t="str">
        <f>CHOOSE(B166+1,IF(C166&gt;=C$159,"OK",""),"◄ Enter","◄ Clear")</f>
        <v>◄ Enter</v>
      </c>
      <c r="S166" s="104"/>
      <c r="T166" s="152"/>
      <c r="U166" s="374" t="s">
        <v>568</v>
      </c>
    </row>
    <row r="167" spans="1:21" ht="11.25" customHeight="1" x14ac:dyDescent="0.2">
      <c r="A167" s="142">
        <f>IF(NCHURCHES&gt;1,2,0)</f>
        <v>0</v>
      </c>
      <c r="B167" s="142">
        <f>IF(NOT(OR(RIGHT(M167,1)="►",ISBLANK(O167))),2,IF(A167=0,IF(AND(ISBLANK(I167),ISBLANK(L167),ISBLANK(M167),ISBLANK(O167)),0,2),IF(OR(ISBLANK(I167),ISBLANK(L167),ISBLANK(M167),AND(ISBLANK(O167),RIGHT(M167,1)="►")),1,0)))</f>
        <v>0</v>
      </c>
      <c r="C167">
        <f>IF(I167="Approved",IF(M167="Congregation",3,IF(M167="Session",2,1)),0)</f>
        <v>0</v>
      </c>
      <c r="D167" s="176" t="s">
        <v>658</v>
      </c>
      <c r="E167" s="102"/>
      <c r="F167" s="111"/>
      <c r="G167" s="703">
        <f>I19</f>
        <v>0</v>
      </c>
      <c r="H167" s="703"/>
      <c r="I167" s="695"/>
      <c r="J167" s="695"/>
      <c r="K167" s="695"/>
      <c r="L167" s="362"/>
      <c r="M167" s="695"/>
      <c r="N167" s="695"/>
      <c r="O167" s="704"/>
      <c r="P167" s="704"/>
      <c r="Q167" s="704"/>
      <c r="R167" s="103" t="str">
        <f>CHOOSE(B167+1,IF(C167&gt;=C$159,"OK",""),"◄ Enter","◄ Clear")</f>
        <v/>
      </c>
      <c r="S167" s="104"/>
      <c r="T167" s="152"/>
    </row>
    <row r="168" spans="1:21" ht="11.25" customHeight="1" x14ac:dyDescent="0.2">
      <c r="A168" s="142">
        <f>IF(NCHURCHES&gt;2,2,0)</f>
        <v>0</v>
      </c>
      <c r="B168" s="142">
        <f>IF(NOT(OR(RIGHT(M168,1)="►",ISBLANK(O168))),2,IF(A168=0,IF(AND(ISBLANK(I168),ISBLANK(L168),ISBLANK(M168),ISBLANK(O168)),0,2),IF(OR(ISBLANK(I168),ISBLANK(L168),ISBLANK(M168),AND(ISBLANK(O168),RIGHT(M168,1)="►")),1,0)))</f>
        <v>0</v>
      </c>
      <c r="C168">
        <f>IF(I168="Approved",IF(M168="Congregation",3,IF(M168="Session",2,1)),0)</f>
        <v>0</v>
      </c>
      <c r="D168" s="176" t="s">
        <v>659</v>
      </c>
      <c r="E168" s="102"/>
      <c r="F168" s="111"/>
      <c r="G168" s="703">
        <f>I20</f>
        <v>0</v>
      </c>
      <c r="H168" s="703"/>
      <c r="I168" s="695"/>
      <c r="J168" s="695"/>
      <c r="K168" s="695"/>
      <c r="L168" s="362"/>
      <c r="M168" s="695"/>
      <c r="N168" s="695"/>
      <c r="O168" s="704"/>
      <c r="P168" s="704"/>
      <c r="Q168" s="704"/>
      <c r="R168" s="103" t="str">
        <f>CHOOSE(B168+1,IF(C168&gt;=C$159,"OK",""),"◄ Enter","◄ Clear")</f>
        <v/>
      </c>
      <c r="S168" s="104"/>
      <c r="T168" s="152"/>
    </row>
    <row r="169" spans="1:21" ht="11.25" customHeight="1" x14ac:dyDescent="0.2">
      <c r="A169" s="142">
        <f>IF(NCHURCHES&gt;3,2,0)</f>
        <v>0</v>
      </c>
      <c r="B169" s="142">
        <f>IF(NOT(OR(RIGHT(M169,1)="►",ISBLANK(O169))),2,IF(A169=0,IF(AND(ISBLANK(I169),ISBLANK(L169),ISBLANK(M169),ISBLANK(O169)),0,2),IF(OR(ISBLANK(I169),ISBLANK(L169),ISBLANK(M169),AND(ISBLANK(O169),RIGHT(M169,1)="►")),1,0)))</f>
        <v>0</v>
      </c>
      <c r="C169">
        <f>IF(I169="Approved",IF(M169="Congregation",3,IF(M169="Session",2,1)),0)</f>
        <v>0</v>
      </c>
      <c r="D169" s="176" t="s">
        <v>660</v>
      </c>
      <c r="E169" s="102"/>
      <c r="F169" s="111"/>
      <c r="G169" s="703">
        <f>I21</f>
        <v>0</v>
      </c>
      <c r="H169" s="703"/>
      <c r="I169" s="695"/>
      <c r="J169" s="695"/>
      <c r="K169" s="695"/>
      <c r="L169" s="362"/>
      <c r="M169" s="695"/>
      <c r="N169" s="695"/>
      <c r="O169" s="704"/>
      <c r="P169" s="704"/>
      <c r="Q169" s="704"/>
      <c r="R169" s="103" t="str">
        <f>CHOOSE(B169+1,IF(C169&gt;=C$159,"OK",""),"◄ Enter","◄ Clear")</f>
        <v/>
      </c>
      <c r="S169" s="104"/>
      <c r="T169" s="152"/>
    </row>
    <row r="170" spans="1:21" ht="11.25" customHeight="1" x14ac:dyDescent="0.25">
      <c r="A170">
        <v>4</v>
      </c>
      <c r="C170" s="103">
        <f>IF(NCHURCHES&lt;1,-1,COUNTIF(R166:R169,"OK")-NCHURCHES)</f>
        <v>-1</v>
      </c>
      <c r="D170" s="176" t="s">
        <v>661</v>
      </c>
      <c r="E170" s="102"/>
      <c r="G170" s="111"/>
      <c r="H170" s="169"/>
      <c r="I170" s="169"/>
      <c r="P170" s="193"/>
      <c r="R170" s="1" t="str">
        <f>IF(C170=0,IF(NCHURCHES=1,"APPROVED by the calling church.","APPROVED by all calling churches."),"Not yet fully church-approved.")</f>
        <v>Not yet fully church-approved.</v>
      </c>
      <c r="S170" s="104"/>
      <c r="T170" s="152"/>
    </row>
    <row r="171" spans="1:21" ht="11.25" customHeight="1" x14ac:dyDescent="0.25">
      <c r="C171" s="184"/>
      <c r="D171" s="444"/>
      <c r="E171" s="102"/>
      <c r="G171" s="111"/>
      <c r="H171" s="169"/>
      <c r="I171" s="169"/>
      <c r="P171" s="193"/>
      <c r="S171" s="104"/>
      <c r="T171" s="152"/>
    </row>
    <row r="172" spans="1:21" ht="15" x14ac:dyDescent="0.25">
      <c r="D172" s="444"/>
      <c r="E172" s="102"/>
      <c r="F172" s="169" t="s">
        <v>569</v>
      </c>
      <c r="G172" s="111"/>
      <c r="H172" s="169"/>
      <c r="I172" s="169"/>
      <c r="P172" s="193"/>
      <c r="S172" s="104"/>
      <c r="T172" s="152"/>
      <c r="U172" s="374" t="s">
        <v>567</v>
      </c>
    </row>
    <row r="173" spans="1:21" ht="12.75" hidden="1" x14ac:dyDescent="0.2">
      <c r="A173" s="375"/>
      <c r="B173" s="359"/>
      <c r="C173" s="359"/>
      <c r="D173" s="376"/>
      <c r="E173" s="360"/>
      <c r="F173" s="359"/>
      <c r="G173" s="359"/>
      <c r="H173" s="359"/>
      <c r="I173" s="702" t="s">
        <v>484</v>
      </c>
      <c r="J173" s="702"/>
      <c r="K173" s="702"/>
      <c r="L173" s="359"/>
      <c r="M173" s="355"/>
      <c r="N173" s="378"/>
      <c r="O173" s="378"/>
      <c r="P173" s="378"/>
      <c r="Q173" s="359"/>
      <c r="R173" s="359"/>
      <c r="S173" s="361"/>
      <c r="T173" s="359"/>
      <c r="U173" s="376" t="s">
        <v>607</v>
      </c>
    </row>
    <row r="174" spans="1:21" ht="12.75" hidden="1" x14ac:dyDescent="0.2">
      <c r="A174" s="375"/>
      <c r="B174" s="359"/>
      <c r="C174" s="359"/>
      <c r="D174" s="376"/>
      <c r="E174" s="360"/>
      <c r="F174" s="359"/>
      <c r="G174" s="359"/>
      <c r="H174" s="359"/>
      <c r="I174" s="702" t="s">
        <v>561</v>
      </c>
      <c r="J174" s="702"/>
      <c r="K174" s="702"/>
      <c r="L174" s="359"/>
      <c r="M174" s="355"/>
      <c r="N174" s="378"/>
      <c r="O174" s="378"/>
      <c r="P174" s="378"/>
      <c r="Q174" s="359"/>
      <c r="R174" s="359"/>
      <c r="S174" s="361"/>
      <c r="T174" s="359"/>
      <c r="U174" s="376" t="s">
        <v>607</v>
      </c>
    </row>
    <row r="175" spans="1:21" ht="12.75" hidden="1" x14ac:dyDescent="0.2">
      <c r="A175" s="375"/>
      <c r="B175" s="359"/>
      <c r="C175" s="359"/>
      <c r="D175" s="376"/>
      <c r="E175" s="360"/>
      <c r="F175" s="359"/>
      <c r="G175" s="359"/>
      <c r="H175" s="359"/>
      <c r="I175" s="702" t="s">
        <v>332</v>
      </c>
      <c r="J175" s="702"/>
      <c r="K175" s="702"/>
      <c r="L175" s="359"/>
      <c r="M175" s="355"/>
      <c r="N175" s="378"/>
      <c r="O175" s="378"/>
      <c r="P175" s="378"/>
      <c r="Q175" s="359"/>
      <c r="R175" s="359"/>
      <c r="S175" s="361"/>
      <c r="T175" s="359"/>
      <c r="U175" s="376" t="s">
        <v>607</v>
      </c>
    </row>
    <row r="176" spans="1:21" ht="11.25" customHeight="1" x14ac:dyDescent="0.25">
      <c r="A176">
        <v>2</v>
      </c>
      <c r="B176" s="142">
        <f>IF(ISBLANK(I176),1,0)</f>
        <v>1</v>
      </c>
      <c r="C176" s="103">
        <f>IF(I176="Approved",0,1)</f>
        <v>1</v>
      </c>
      <c r="D176" s="176" t="s">
        <v>662</v>
      </c>
      <c r="E176" s="102"/>
      <c r="G176" s="111"/>
      <c r="H176" s="183" t="s">
        <v>595</v>
      </c>
      <c r="I176" s="695"/>
      <c r="J176" s="695"/>
      <c r="K176" s="695"/>
      <c r="L176" s="362"/>
      <c r="M176" s="103"/>
      <c r="P176" s="193"/>
      <c r="R176" s="1" t="str">
        <f>IF(I176="Approved","APPROVED by the called employee.","Not yet employee-approved")</f>
        <v>Not yet employee-approved</v>
      </c>
      <c r="S176" s="104"/>
      <c r="T176" s="152"/>
      <c r="U176" s="374" t="s">
        <v>568</v>
      </c>
    </row>
    <row r="177" spans="3:20" ht="11.25" customHeight="1" x14ac:dyDescent="0.25">
      <c r="D177" s="176"/>
      <c r="E177" s="102"/>
      <c r="G177" s="111"/>
      <c r="H177" s="169"/>
      <c r="I177" s="87"/>
      <c r="J177" s="87"/>
      <c r="K177" s="87"/>
      <c r="L177" s="391"/>
      <c r="P177" s="193"/>
      <c r="S177" s="104"/>
      <c r="T177" s="152"/>
    </row>
    <row r="178" spans="3:20" ht="11.25" customHeight="1" x14ac:dyDescent="0.25">
      <c r="D178" s="444"/>
      <c r="E178" s="102"/>
      <c r="G178" s="111"/>
      <c r="H178" s="169"/>
      <c r="I178" s="87"/>
      <c r="J178" s="87"/>
      <c r="K178" s="87"/>
      <c r="L178" s="386"/>
      <c r="P178" s="193"/>
      <c r="S178" s="104"/>
      <c r="T178" s="152"/>
    </row>
    <row r="179" spans="3:20" ht="15" x14ac:dyDescent="0.25">
      <c r="C179">
        <f>IF(C159=1,2,1)</f>
        <v>1</v>
      </c>
      <c r="D179" s="444"/>
      <c r="E179" s="102"/>
      <c r="F179" s="169" t="str">
        <f>CHOOSE(C179,"For the Presbytery, approval will be recorded after this report is submitted.","Presbytery approval is not required for this call.")</f>
        <v>For the Presbytery, approval will be recorded after this report is submitted.</v>
      </c>
      <c r="G179" s="111"/>
      <c r="H179" s="169"/>
      <c r="I179" s="87"/>
      <c r="J179" s="87"/>
      <c r="K179" s="87"/>
      <c r="L179" s="386"/>
      <c r="P179" s="193"/>
      <c r="Q179" s="169"/>
      <c r="S179" s="104"/>
      <c r="T179" s="152"/>
    </row>
    <row r="180" spans="3:20" ht="15" x14ac:dyDescent="0.25">
      <c r="D180" s="444"/>
      <c r="E180" s="102"/>
      <c r="G180" s="111"/>
      <c r="H180" s="184" t="s">
        <v>584</v>
      </c>
      <c r="I180" s="169"/>
      <c r="P180" s="193"/>
      <c r="S180" s="104"/>
      <c r="T180" s="152"/>
    </row>
    <row r="181" spans="3:20" ht="15" x14ac:dyDescent="0.25">
      <c r="D181" s="444"/>
      <c r="E181" s="102"/>
      <c r="G181" s="111"/>
      <c r="H181" s="184" t="str">
        <f>CONCATENATE("Then select the ",IF(NCHURCHES=1,"Report1","Report2")," tab and print it.")</f>
        <v>Then select the Report2 tab and print it.</v>
      </c>
      <c r="I181" s="169"/>
      <c r="P181" s="193"/>
      <c r="S181" s="104"/>
      <c r="T181" s="152"/>
    </row>
    <row r="182" spans="3:20" ht="15" x14ac:dyDescent="0.25">
      <c r="D182" s="444"/>
      <c r="E182" s="102"/>
      <c r="G182" s="111"/>
      <c r="H182" s="184" t="s">
        <v>583</v>
      </c>
      <c r="I182" s="87"/>
      <c r="J182" s="87"/>
      <c r="K182" s="87"/>
      <c r="L182" s="386"/>
      <c r="P182" s="193"/>
      <c r="S182" s="104"/>
      <c r="T182" s="152"/>
    </row>
    <row r="183" spans="3:20" ht="11.25" customHeight="1" thickBot="1" x14ac:dyDescent="0.3">
      <c r="D183" s="444"/>
      <c r="E183" s="105"/>
      <c r="F183" s="106"/>
      <c r="G183" s="106"/>
      <c r="H183" s="385"/>
      <c r="I183" s="106"/>
      <c r="J183" s="106"/>
      <c r="K183" s="106"/>
      <c r="L183" s="106"/>
      <c r="M183" s="106"/>
      <c r="N183" s="106"/>
      <c r="O183" s="106"/>
      <c r="P183" s="106"/>
      <c r="Q183" s="106"/>
      <c r="R183" s="106"/>
      <c r="S183" s="108"/>
      <c r="T183" s="152"/>
    </row>
    <row r="184" spans="3:20" ht="11.25" customHeight="1" x14ac:dyDescent="0.2">
      <c r="D184" s="444"/>
      <c r="E184" s="152"/>
      <c r="F184" s="152"/>
      <c r="G184" s="152"/>
      <c r="H184" s="152"/>
      <c r="I184" s="152"/>
      <c r="J184" s="152"/>
      <c r="K184" s="152"/>
      <c r="L184" s="152"/>
      <c r="M184" s="152"/>
      <c r="N184" s="152"/>
      <c r="O184" s="152"/>
      <c r="P184" s="152"/>
      <c r="Q184" s="152"/>
      <c r="R184" s="152"/>
      <c r="S184" s="152"/>
      <c r="T184" s="152"/>
    </row>
  </sheetData>
  <sheetProtection sheet="1" objects="1" scenarios="1" selectLockedCells="1"/>
  <autoFilter ref="A1:AB182" xr:uid="{EEDC4E7C-F68E-47A7-8EE8-3F8DC464FCBB}">
    <filterColumn colId="20">
      <filters blank="1">
        <filter val="▲"/>
        <filter val="▼"/>
        <filter val="♦"/>
      </filters>
    </filterColumn>
  </autoFilter>
  <mergeCells count="114">
    <mergeCell ref="M120:N120"/>
    <mergeCell ref="V6:Y6"/>
    <mergeCell ref="V36:Y37"/>
    <mergeCell ref="V34:Y35"/>
    <mergeCell ref="V27:Y28"/>
    <mergeCell ref="V26:Y26"/>
    <mergeCell ref="I34:K34"/>
    <mergeCell ref="I14:M14"/>
    <mergeCell ref="I30:L30"/>
    <mergeCell ref="V7:Y7"/>
    <mergeCell ref="V15:Y15"/>
    <mergeCell ref="V22:Y22"/>
    <mergeCell ref="Q17:S17"/>
    <mergeCell ref="G70:K70"/>
    <mergeCell ref="V146:X147"/>
    <mergeCell ref="V138:X138"/>
    <mergeCell ref="V142:X142"/>
    <mergeCell ref="V143:X143"/>
    <mergeCell ref="V144:X145"/>
    <mergeCell ref="I38:J38"/>
    <mergeCell ref="I37:J37"/>
    <mergeCell ref="I64:K64"/>
    <mergeCell ref="I63:K63"/>
    <mergeCell ref="I62:K62"/>
    <mergeCell ref="W44:Y44"/>
    <mergeCell ref="W45:Y45"/>
    <mergeCell ref="V72:W72"/>
    <mergeCell ref="I131:K131"/>
    <mergeCell ref="Q46:S46"/>
    <mergeCell ref="I55:K55"/>
    <mergeCell ref="I56:K56"/>
    <mergeCell ref="V40:Z40"/>
    <mergeCell ref="V55:W55"/>
    <mergeCell ref="W46:Y46"/>
    <mergeCell ref="W47:Y47"/>
    <mergeCell ref="W41:Y41"/>
    <mergeCell ref="W42:Y42"/>
    <mergeCell ref="W43:Y43"/>
    <mergeCell ref="Z105:AB105"/>
    <mergeCell ref="V75:X75"/>
    <mergeCell ref="X97:Z97"/>
    <mergeCell ref="X102:Y102"/>
    <mergeCell ref="X103:Y103"/>
    <mergeCell ref="R80:S80"/>
    <mergeCell ref="V65:W65"/>
    <mergeCell ref="V125:X125"/>
    <mergeCell ref="V124:X124"/>
    <mergeCell ref="X99:Y99"/>
    <mergeCell ref="X101:Y101"/>
    <mergeCell ref="G166:H166"/>
    <mergeCell ref="G167:H167"/>
    <mergeCell ref="G168:H168"/>
    <mergeCell ref="G169:H169"/>
    <mergeCell ref="G159:H159"/>
    <mergeCell ref="I161:K161"/>
    <mergeCell ref="I162:K162"/>
    <mergeCell ref="I163:K163"/>
    <mergeCell ref="O166:Q166"/>
    <mergeCell ref="O167:Q167"/>
    <mergeCell ref="O168:Q168"/>
    <mergeCell ref="O169:Q169"/>
    <mergeCell ref="M159:N159"/>
    <mergeCell ref="M166:N166"/>
    <mergeCell ref="M167:N167"/>
    <mergeCell ref="M168:N168"/>
    <mergeCell ref="M169:N169"/>
    <mergeCell ref="I176:K176"/>
    <mergeCell ref="I166:K166"/>
    <mergeCell ref="I167:K167"/>
    <mergeCell ref="I168:K168"/>
    <mergeCell ref="I169:K169"/>
    <mergeCell ref="I159:K159"/>
    <mergeCell ref="I65:K65"/>
    <mergeCell ref="I67:K67"/>
    <mergeCell ref="I66:K66"/>
    <mergeCell ref="J73:O73"/>
    <mergeCell ref="I148:L148"/>
    <mergeCell ref="I134:K134"/>
    <mergeCell ref="I128:K128"/>
    <mergeCell ref="I120:J120"/>
    <mergeCell ref="I135:N135"/>
    <mergeCell ref="I136:N136"/>
    <mergeCell ref="M132:N132"/>
    <mergeCell ref="I173:K173"/>
    <mergeCell ref="I174:K174"/>
    <mergeCell ref="I175:K175"/>
    <mergeCell ref="I133:K133"/>
    <mergeCell ref="M133:N133"/>
    <mergeCell ref="I132:K132"/>
    <mergeCell ref="F73:I73"/>
    <mergeCell ref="V133:X133"/>
    <mergeCell ref="A3:B6"/>
    <mergeCell ref="D3:D6"/>
    <mergeCell ref="J3:K3"/>
    <mergeCell ref="E3:H3"/>
    <mergeCell ref="I54:K54"/>
    <mergeCell ref="I41:O41"/>
    <mergeCell ref="I48:K48"/>
    <mergeCell ref="E4:F4"/>
    <mergeCell ref="E5:F5"/>
    <mergeCell ref="G4:H4"/>
    <mergeCell ref="G5:H5"/>
    <mergeCell ref="J5:L5"/>
    <mergeCell ref="I8:O8"/>
    <mergeCell ref="I25:O25"/>
    <mergeCell ref="I18:L18"/>
    <mergeCell ref="K38:L38"/>
    <mergeCell ref="K37:L37"/>
    <mergeCell ref="I19:L19"/>
    <mergeCell ref="I20:L20"/>
    <mergeCell ref="I21:L21"/>
    <mergeCell ref="X100:Y100"/>
    <mergeCell ref="X98:Y98"/>
    <mergeCell ref="V58:W58"/>
  </mergeCells>
  <conditionalFormatting sqref="M70:P70">
    <cfRule type="expression" dxfId="77" priority="162" stopIfTrue="1">
      <formula>$B$70=4</formula>
    </cfRule>
  </conditionalFormatting>
  <conditionalFormatting sqref="H148">
    <cfRule type="expression" dxfId="76" priority="327" stopIfTrue="1">
      <formula>$A148=0</formula>
    </cfRule>
  </conditionalFormatting>
  <conditionalFormatting sqref="G4:H5">
    <cfRule type="expression" dxfId="75" priority="56" stopIfTrue="1">
      <formula>$E$5+$E$4=0</formula>
    </cfRule>
  </conditionalFormatting>
  <conditionalFormatting sqref="G66">
    <cfRule type="expression" dxfId="74" priority="140" stopIfTrue="1">
      <formula>$A66=0</formula>
    </cfRule>
  </conditionalFormatting>
  <conditionalFormatting sqref="K154:Q154 H154">
    <cfRule type="expression" dxfId="73" priority="403" stopIfTrue="1">
      <formula>$I$154=0</formula>
    </cfRule>
  </conditionalFormatting>
  <conditionalFormatting sqref="F149:Q154">
    <cfRule type="expression" dxfId="72" priority="334" stopIfTrue="1">
      <formula>NCHURCHES&lt;2</formula>
    </cfRule>
  </conditionalFormatting>
  <conditionalFormatting sqref="G143:Q143">
    <cfRule type="expression" dxfId="71" priority="326" stopIfTrue="1">
      <formula>PCT_YEAR=100%</formula>
    </cfRule>
  </conditionalFormatting>
  <conditionalFormatting sqref="O61">
    <cfRule type="expression" dxfId="70" priority="99" stopIfTrue="1">
      <formula>$A61=0</formula>
    </cfRule>
  </conditionalFormatting>
  <conditionalFormatting sqref="O63">
    <cfRule type="expression" dxfId="69" priority="135" stopIfTrue="1">
      <formula>$A63=0</formula>
    </cfRule>
  </conditionalFormatting>
  <conditionalFormatting sqref="O68">
    <cfRule type="expression" dxfId="68" priority="150" stopIfTrue="1">
      <formula>$A68=0</formula>
    </cfRule>
  </conditionalFormatting>
  <conditionalFormatting sqref="G55:G56">
    <cfRule type="expression" dxfId="67" priority="74" stopIfTrue="1">
      <formula>$A$55=0</formula>
    </cfRule>
  </conditionalFormatting>
  <conditionalFormatting sqref="F34">
    <cfRule type="expression" dxfId="66" priority="69" stopIfTrue="1">
      <formula>$A$34=0</formula>
    </cfRule>
  </conditionalFormatting>
  <conditionalFormatting sqref="G54:P54 G53:H53 M53:P53">
    <cfRule type="expression" dxfId="65" priority="73" stopIfTrue="1">
      <formula>$A$53=0</formula>
    </cfRule>
  </conditionalFormatting>
  <conditionalFormatting sqref="J58:R60">
    <cfRule type="expression" dxfId="64" priority="88" stopIfTrue="1">
      <formula>$I$60="E"</formula>
    </cfRule>
  </conditionalFormatting>
  <conditionalFormatting sqref="J90:R91 M92:R92 H93:R97">
    <cfRule type="expression" dxfId="63" priority="167" stopIfTrue="1">
      <formula>OR($A$92=0,$I$92="N")</formula>
    </cfRule>
  </conditionalFormatting>
  <conditionalFormatting sqref="O99:Q100 H105:R105 H101:Q104">
    <cfRule type="expression" dxfId="62" priority="178" stopIfTrue="1">
      <formula>$I$100="N"</formula>
    </cfRule>
  </conditionalFormatting>
  <conditionalFormatting sqref="N106:Q111 H107:M110">
    <cfRule type="expression" dxfId="61" priority="180" stopIfTrue="1">
      <formula>$I$106="N"</formula>
    </cfRule>
  </conditionalFormatting>
  <conditionalFormatting sqref="P140:Q140 N89:S89 N87:R88 N80:S83 P85:Q85 O84:R84">
    <cfRule type="expression" dxfId="60" priority="313">
      <formula>$C$92="N"+$M$92:$R$97</formula>
    </cfRule>
  </conditionalFormatting>
  <conditionalFormatting sqref="O124:Q125">
    <cfRule type="expression" dxfId="59" priority="306" stopIfTrue="1">
      <formula>NOT($C124="O")</formula>
    </cfRule>
  </conditionalFormatting>
  <conditionalFormatting sqref="G166:Q169">
    <cfRule type="expression" dxfId="58" priority="412" stopIfTrue="1">
      <formula>$A166=0</formula>
    </cfRule>
  </conditionalFormatting>
  <conditionalFormatting sqref="S105">
    <cfRule type="expression" dxfId="57" priority="232" stopIfTrue="1">
      <formula>$C$100="N"</formula>
    </cfRule>
  </conditionalFormatting>
  <conditionalFormatting sqref="S119">
    <cfRule type="expression" dxfId="56" priority="275" stopIfTrue="1">
      <formula>$C$100="N"</formula>
    </cfRule>
  </conditionalFormatting>
  <conditionalFormatting sqref="S97">
    <cfRule type="expression" dxfId="55" priority="175" stopIfTrue="1">
      <formula>$C$100="N"</formula>
    </cfRule>
  </conditionalFormatting>
  <conditionalFormatting sqref="K59">
    <cfRule type="expression" dxfId="54" priority="92" stopIfTrue="1">
      <formula>NOT(ISBLANK($I$60))</formula>
    </cfRule>
  </conditionalFormatting>
  <conditionalFormatting sqref="O62">
    <cfRule type="expression" dxfId="53" priority="100" stopIfTrue="1">
      <formula>$A62=0</formula>
    </cfRule>
  </conditionalFormatting>
  <conditionalFormatting sqref="O121:Q121">
    <cfRule type="expression" dxfId="52" priority="279" stopIfTrue="1">
      <formula>$C121="N"</formula>
    </cfRule>
  </conditionalFormatting>
  <conditionalFormatting sqref="G150:Q153">
    <cfRule type="expression" dxfId="51" priority="402" stopIfTrue="1">
      <formula>$A150=0</formula>
    </cfRule>
  </conditionalFormatting>
  <conditionalFormatting sqref="H18:H21 L34 P37:P38 M53 L55:L56 L66 L120 O135:O136 M148 L150:L153 K124:K125">
    <cfRule type="expression" dxfId="50" priority="68" stopIfTrue="1">
      <formula>$B18=2</formula>
    </cfRule>
  </conditionalFormatting>
  <conditionalFormatting sqref="R166:R169">
    <cfRule type="expression" dxfId="49" priority="52" stopIfTrue="1">
      <formula>$B166=2</formula>
    </cfRule>
  </conditionalFormatting>
  <conditionalFormatting sqref="P86">
    <cfRule type="expression" dxfId="48" priority="48">
      <formula>$C$92="N"+$M$92:$R$97</formula>
    </cfRule>
  </conditionalFormatting>
  <conditionalFormatting sqref="K86">
    <cfRule type="expression" dxfId="47" priority="47" stopIfTrue="1">
      <formula>$B86=2</formula>
    </cfRule>
  </conditionalFormatting>
  <conditionalFormatting sqref="S111">
    <cfRule type="expression" dxfId="46" priority="46" stopIfTrue="1">
      <formula>$C$100="N"</formula>
    </cfRule>
  </conditionalFormatting>
  <conditionalFormatting sqref="S113:S115">
    <cfRule type="expression" dxfId="45" priority="43" stopIfTrue="1">
      <formula>$C$100="N"</formula>
    </cfRule>
  </conditionalFormatting>
  <conditionalFormatting sqref="N113:Q115">
    <cfRule type="expression" dxfId="44" priority="44" stopIfTrue="1">
      <formula>$C$106="N"</formula>
    </cfRule>
  </conditionalFormatting>
  <conditionalFormatting sqref="S112">
    <cfRule type="expression" dxfId="43" priority="41" stopIfTrue="1">
      <formula>$C$100="N"</formula>
    </cfRule>
  </conditionalFormatting>
  <conditionalFormatting sqref="N112:Q112">
    <cfRule type="expression" dxfId="42" priority="42" stopIfTrue="1">
      <formula>$C$106="N"</formula>
    </cfRule>
  </conditionalFormatting>
  <conditionalFormatting sqref="N86">
    <cfRule type="expression" dxfId="41" priority="38">
      <formula>$C$92="N"+$M$92:$R$97</formula>
    </cfRule>
  </conditionalFormatting>
  <conditionalFormatting sqref="S84:S88">
    <cfRule type="expression" dxfId="40" priority="37">
      <formula>$C$92="N"+$M$92:$R$97</formula>
    </cfRule>
  </conditionalFormatting>
  <conditionalFormatting sqref="R85:R86">
    <cfRule type="expression" dxfId="39" priority="36">
      <formula>$C$92="N"+$M$92:$R$97</formula>
    </cfRule>
  </conditionalFormatting>
  <conditionalFormatting sqref="K84">
    <cfRule type="expression" dxfId="38" priority="30" stopIfTrue="1">
      <formula>$B84=2</formula>
    </cfRule>
  </conditionalFormatting>
  <conditionalFormatting sqref="K83">
    <cfRule type="expression" dxfId="37" priority="29" stopIfTrue="1">
      <formula>$B83=2</formula>
    </cfRule>
  </conditionalFormatting>
  <conditionalFormatting sqref="K85">
    <cfRule type="expression" dxfId="36" priority="28" stopIfTrue="1">
      <formula>$B85=2</formula>
    </cfRule>
  </conditionalFormatting>
  <conditionalFormatting sqref="O86">
    <cfRule type="expression" dxfId="35" priority="27">
      <formula>$C$92="N"+$M$92:$R$97</formula>
    </cfRule>
  </conditionalFormatting>
  <conditionalFormatting sqref="O85">
    <cfRule type="expression" dxfId="34" priority="25">
      <formula>$C$92="N"+$M$92:$R$97</formula>
    </cfRule>
  </conditionalFormatting>
  <conditionalFormatting sqref="K53">
    <cfRule type="expression" dxfId="33" priority="24" stopIfTrue="1">
      <formula>$A$53=0</formula>
    </cfRule>
  </conditionalFormatting>
  <conditionalFormatting sqref="J53">
    <cfRule type="expression" dxfId="32" priority="23" stopIfTrue="1">
      <formula>$A$53=0</formula>
    </cfRule>
  </conditionalFormatting>
  <conditionalFormatting sqref="L53">
    <cfRule type="expression" dxfId="31" priority="22" stopIfTrue="1">
      <formula>$A$53=0</formula>
    </cfRule>
  </conditionalFormatting>
  <conditionalFormatting sqref="I1:I25 I71:I72 I74:I75 I79:I1048576 C1:D1048576 I27:I69">
    <cfRule type="expression" dxfId="30" priority="20">
      <formula>$B1&gt;=2</formula>
    </cfRule>
    <cfRule type="expression" dxfId="29" priority="21">
      <formula>$B1=1</formula>
    </cfRule>
  </conditionalFormatting>
  <conditionalFormatting sqref="Q86">
    <cfRule type="expression" dxfId="28" priority="18">
      <formula>$C$92="N"+$M$92:$R$97</formula>
    </cfRule>
  </conditionalFormatting>
  <conditionalFormatting sqref="L176">
    <cfRule type="expression" dxfId="27" priority="17" stopIfTrue="1">
      <formula>$A176=0</formula>
    </cfRule>
  </conditionalFormatting>
  <conditionalFormatting sqref="J76:K78">
    <cfRule type="expression" dxfId="26" priority="15">
      <formula>$B76&gt;=2</formula>
    </cfRule>
    <cfRule type="expression" dxfId="25" priority="16">
      <formula>$B76=1</formula>
    </cfRule>
  </conditionalFormatting>
  <conditionalFormatting sqref="J120">
    <cfRule type="expression" dxfId="24" priority="6" stopIfTrue="1">
      <formula>$B120=2</formula>
    </cfRule>
  </conditionalFormatting>
  <conditionalFormatting sqref="O166:Q169">
    <cfRule type="expression" dxfId="23" priority="4">
      <formula>AND($M166&lt;&gt;"Another group ►",NOT(ISBLANK($O166)))</formula>
    </cfRule>
  </conditionalFormatting>
  <conditionalFormatting sqref="N85">
    <cfRule type="expression" dxfId="22" priority="2">
      <formula>$C$92="N"+$M$92:$R$97</formula>
    </cfRule>
  </conditionalFormatting>
  <conditionalFormatting sqref="N84">
    <cfRule type="expression" dxfId="21" priority="1">
      <formula>$C$92="N"+$M$92:$R$97</formula>
    </cfRule>
  </conditionalFormatting>
  <dataValidations xWindow="349" yWindow="880" count="27">
    <dataValidation type="decimal" allowBlank="1" showInputMessage="1" showErrorMessage="1" sqref="I35" xr:uid="{9182CA23-9041-48B2-8953-5FEC32992F8F}">
      <formula1>1</formula1>
      <formula2>40</formula2>
    </dataValidation>
    <dataValidation type="whole" allowBlank="1" showInputMessage="1" showErrorMessage="1" sqref="I17" xr:uid="{43F5FD15-CBF2-412A-9B00-2A0C9B031F53}">
      <formula1>1</formula1>
      <formula2>4</formula2>
    </dataValidation>
    <dataValidation type="decimal" operator="greaterThanOrEqual" allowBlank="1" showInputMessage="1" showErrorMessage="1" sqref="I54:K56 I62:K67 I48:K48" xr:uid="{171F12E4-5B41-43F1-982F-8E52AB0E91B3}">
      <formula1>0</formula1>
    </dataValidation>
    <dataValidation type="decimal" allowBlank="1" showInputMessage="1" showErrorMessage="1" sqref="I101:I104 I107:I110 I94:I96" xr:uid="{D65DE505-2C97-448F-BAAF-2D575B2E5E03}">
      <formula1>0</formula1>
      <formula2>1</formula2>
    </dataValidation>
    <dataValidation type="list" allowBlank="1" showInputMessage="1" showErrorMessage="1" sqref="I148:L148" xr:uid="{67B9C59D-A4F3-4A9D-90F9-203278CEE75D}">
      <formula1>I$18:I$21</formula1>
    </dataValidation>
    <dataValidation type="list" allowBlank="1" showInputMessage="1" showErrorMessage="1" sqref="I18:I21" xr:uid="{94408B7D-1AF7-47F6-96B6-B3C9407A2E15}">
      <formula1>LOCAL_CHURCHES</formula1>
    </dataValidation>
    <dataValidation type="list" allowBlank="1" showInputMessage="1" showErrorMessage="1" sqref="I79" xr:uid="{17720C13-FC83-4C4E-987F-FFD50D5217D9}">
      <formula1>$I$76:$I$78</formula1>
    </dataValidation>
    <dataValidation type="list" allowBlank="1" showInputMessage="1" showErrorMessage="1" sqref="I106 I124:I125" xr:uid="{D2296C6B-B0EE-41BC-AFA6-733EFA09BDB2}">
      <formula1>$V$73:$V$74</formula1>
    </dataValidation>
    <dataValidation type="decimal" operator="greaterThanOrEqual" allowBlank="1" showInputMessage="1" showErrorMessage="1" sqref="I132:K133 I139:I140 I142:I143" xr:uid="{B77E636E-C59C-4C6B-8323-2A2E5761239C}">
      <formula1>M132</formula1>
    </dataValidation>
    <dataValidation type="custom" allowBlank="1" showInputMessage="1" showErrorMessage="1" sqref="I60" xr:uid="{BF508AB2-4CA3-4B62-97D3-E5BFB6532A0D}">
      <formula1>OR(AND(I60&gt;=0,I60&lt;=1),I60="E")</formula1>
    </dataValidation>
    <dataValidation type="date" allowBlank="1" showInputMessage="1" showErrorMessage="1" sqref="K37:K38" xr:uid="{DECD250B-3A54-4930-B95E-F17858B42C75}">
      <formula1>SOY-1</formula1>
      <formula2>EOY+1</formula2>
    </dataValidation>
    <dataValidation type="list" allowBlank="1" showInputMessage="1" showErrorMessage="1" sqref="I121" xr:uid="{748DCAA2-7757-4D26-9093-A0D4870F7F6B}">
      <formula1>$Z$106:$Z$109</formula1>
    </dataValidation>
    <dataValidation type="decimal" operator="greaterThan" allowBlank="1" showInputMessage="1" showErrorMessage="1" sqref="R93:R96" xr:uid="{2DE0906B-6FDA-48A4-9AA7-6D57E9746A7D}">
      <formula1>0</formula1>
    </dataValidation>
    <dataValidation type="list" operator="greaterThanOrEqual" allowBlank="1" showInputMessage="1" showErrorMessage="1" sqref="I120" xr:uid="{3CC0034C-057B-407D-8C4E-3EC05356F4AD}">
      <formula1>$I$112:$I$119</formula1>
    </dataValidation>
    <dataValidation type="list" allowBlank="1" showInputMessage="1" showErrorMessage="1" sqref="I179:K179" xr:uid="{43BF48EE-248F-453F-B7FB-595725ACC908}">
      <formula1>#REF!</formula1>
    </dataValidation>
    <dataValidation type="list" allowBlank="1" showInputMessage="1" showErrorMessage="1" sqref="M166:M169" xr:uid="{DEACD3D3-B72E-48F6-B7E7-2D7590544092}">
      <formula1>$M$161:$M$165</formula1>
    </dataValidation>
    <dataValidation type="list" allowBlank="1" showInputMessage="1" showErrorMessage="1" sqref="I182:I183 I166:K169 I177:I178 I176:K176" xr:uid="{87E5A09A-BF7A-4E52-89A1-1AC0C861180D}">
      <formula1>$I$161:$I$163</formula1>
    </dataValidation>
    <dataValidation type="list" allowBlank="1" showInputMessage="1" showErrorMessage="1" sqref="I14" xr:uid="{8186CF2F-5D49-40DB-8FF8-AB094C859025}">
      <formula1>$I$10:$I$13</formula1>
    </dataValidation>
    <dataValidation type="list" allowBlank="1" showInputMessage="1" showErrorMessage="1" sqref="I30:L30" xr:uid="{AB538008-547E-421B-B44A-7123C027AE7B}">
      <formula1>$I$27:$I$29</formula1>
    </dataValidation>
    <dataValidation type="list" allowBlank="1" showInputMessage="1" showErrorMessage="1" sqref="I34:K34" xr:uid="{544F5FB5-9964-46B9-B81C-F0F0E1D88626}">
      <formula1>$I$32:$I$33</formula1>
    </dataValidation>
    <dataValidation type="list" allowBlank="1" showInputMessage="1" showErrorMessage="1" sqref="I53" xr:uid="{A977669D-8FFA-4F34-AA17-0AD26C9EC593}">
      <formula1>$I$51:$I$52</formula1>
    </dataValidation>
    <dataValidation type="date" allowBlank="1" showInputMessage="1" showErrorMessage="1" sqref="I37:I38" xr:uid="{E83BB2DF-00B0-4079-953A-2AB6E6FC110B}">
      <formula1>SOPY-1</formula1>
      <formula2>EOY+1</formula2>
    </dataValidation>
    <dataValidation type="list" allowBlank="1" showInputMessage="1" showErrorMessage="1" sqref="I83:I85" xr:uid="{CFF61EE4-418A-4C9C-9965-7C963C0A0698}">
      <formula1>$I$81:$I$82</formula1>
    </dataValidation>
    <dataValidation type="list" allowBlank="1" showInputMessage="1" showErrorMessage="1" sqref="I86" xr:uid="{91A58190-BA66-49F1-887F-7B6EC0E17C53}">
      <formula1>"C,O,N"</formula1>
    </dataValidation>
    <dataValidation type="list" allowBlank="1" showInputMessage="1" showErrorMessage="1" sqref="I100" xr:uid="{CB55240A-1910-44F7-AAFB-0CAD41B27031}">
      <formula1>"PPO,DMO,N"</formula1>
    </dataValidation>
    <dataValidation type="list" allowBlank="1" showInputMessage="1" showErrorMessage="1" sqref="I92" xr:uid="{FEB0ED31-A63A-4213-B64F-AABF47031A90}">
      <formula1>"PPO,EPO,HDHP,N"</formula1>
    </dataValidation>
    <dataValidation type="decimal" allowBlank="1" showInputMessage="1" showErrorMessage="1" sqref="I93" xr:uid="{8DC6A447-8AA0-42ED-B15C-4664547DF62A}">
      <formula1>0.1</formula1>
      <formula2>1</formula2>
    </dataValidation>
  </dataValidations>
  <printOptions horizontalCentered="1"/>
  <pageMargins left="0.7" right="0.7" top="0.75" bottom="0.75" header="0.3" footer="0.3"/>
  <pageSetup scale="66" fitToHeight="18" orientation="portrait" r:id="rId1"/>
  <headerFooter>
    <oddFooter>&amp;L&amp;F &amp;A&amp;R&amp;P / &amp;N</oddFooter>
  </headerFooter>
  <rowBreaks count="1" manualBreakCount="1">
    <brk id="97" min="3" max="19" man="1"/>
  </rowBreaks>
  <extLst>
    <ext xmlns:x14="http://schemas.microsoft.com/office/spreadsheetml/2009/9/main" uri="{CCE6A557-97BC-4b89-ADB6-D9C93CAAB3DF}">
      <x14:dataValidations xmlns:xm="http://schemas.microsoft.com/office/excel/2006/main" xWindow="349" yWindow="880" count="6">
        <x14:dataValidation type="date" allowBlank="1" showInputMessage="1" showErrorMessage="1" xr:uid="{31F10BE5-5B5D-4EDD-B6CE-F76A6DCD9EB4}">
          <x14:formula1>
            <xm:f>'Compensation Guidelines'!#REF!</xm:f>
          </x14:formula1>
          <x14:formula2>
            <xm:f>'Compensation Guidelines'!#REF!</xm:f>
          </x14:formula2>
          <xm:sqref>L183</xm:sqref>
        </x14:dataValidation>
        <x14:dataValidation type="date" allowBlank="1" showInputMessage="1" showErrorMessage="1" xr:uid="{372F8526-DEB8-4AD6-BB66-007EDBA4BB34}">
          <x14:formula1>
            <xm:f>'Compensation Guidelines'!Q23</xm:f>
          </x14:formula1>
          <x14:formula2>
            <xm:f>'Compensation Guidelines'!#REF!</xm:f>
          </x14:formula2>
          <xm:sqref>L182</xm:sqref>
        </x14:dataValidation>
        <x14:dataValidation type="date" allowBlank="1" showInputMessage="1" showErrorMessage="1" xr:uid="{43FEBBDC-07A1-4C44-BC49-3D15E37C2917}">
          <x14:formula1>
            <xm:f>'Compensation Guidelines'!Q20</xm:f>
          </x14:formula1>
          <x14:formula2>
            <xm:f>'Compensation Guidelines'!Q22</xm:f>
          </x14:formula2>
          <xm:sqref>L179</xm:sqref>
        </x14:dataValidation>
        <x14:dataValidation type="date" allowBlank="1" showInputMessage="1" showErrorMessage="1" xr:uid="{76151CC2-0664-47D0-B1BF-E59CCE407009}">
          <x14:formula1>
            <xm:f>'Compensation Guidelines'!Q20</xm:f>
          </x14:formula1>
          <x14:formula2>
            <xm:f>'Compensation Guidelines'!Q22</xm:f>
          </x14:formula2>
          <xm:sqref>L178</xm:sqref>
        </x14:dataValidation>
        <x14:dataValidation type="date" allowBlank="1" showInputMessage="1" showErrorMessage="1" xr:uid="{C69C0BD8-CDCC-4F54-8198-18D639C7FB02}">
          <x14:formula1>
            <xm:f>'Compensation Guidelines'!Q12-1</xm:f>
          </x14:formula1>
          <x14:formula2>
            <xm:f>'Compensation Guidelines'!Q14=1</xm:f>
          </x14:formula2>
          <xm:sqref>L166:L169</xm:sqref>
        </x14:dataValidation>
        <x14:dataValidation type="date" allowBlank="1" showInputMessage="1" showErrorMessage="1" xr:uid="{D8B8EC68-1FE6-4A86-A960-B02453271D60}">
          <x14:formula1>
            <xm:f>'Compensation Guidelines'!Q22-1</xm:f>
          </x14:formula1>
          <x14:formula2>
            <xm:f>'Compensation Guidelines'!#REF!=1</xm:f>
          </x14:formula2>
          <xm:sqref>L176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8"/>
  <sheetViews>
    <sheetView showGridLines="0" showRowColHeaders="0" topLeftCell="A7" workbookViewId="0">
      <selection activeCell="B2" sqref="B2"/>
    </sheetView>
  </sheetViews>
  <sheetFormatPr defaultRowHeight="12.75" x14ac:dyDescent="0.2"/>
  <cols>
    <col min="1" max="1" width="5.28515625" customWidth="1"/>
    <col min="2" max="2" width="8" customWidth="1"/>
    <col min="3" max="3" width="6.5703125" customWidth="1"/>
    <col min="4" max="4" width="12.140625" customWidth="1"/>
    <col min="5" max="5" width="6.42578125" customWidth="1"/>
    <col min="6" max="6" width="10" customWidth="1"/>
    <col min="7" max="7" width="8.5703125" customWidth="1"/>
    <col min="8" max="8" width="7.5703125" customWidth="1"/>
    <col min="9" max="9" width="5.28515625" customWidth="1"/>
    <col min="10" max="10" width="10.140625" customWidth="1"/>
    <col min="11" max="11" width="9.28515625" customWidth="1"/>
    <col min="12" max="12" width="11" customWidth="1"/>
  </cols>
  <sheetData>
    <row r="1" spans="1:11" ht="18" x14ac:dyDescent="0.25">
      <c r="A1" s="347" t="str">
        <f>PRESBYTERY</f>
        <v>Presbytery of North Central Iowa</v>
      </c>
      <c r="B1" s="347"/>
      <c r="F1" s="433">
        <f>YEAR</f>
        <v>2023</v>
      </c>
      <c r="G1" s="433" t="s">
        <v>401</v>
      </c>
      <c r="H1" s="433"/>
      <c r="I1" s="433"/>
      <c r="J1" s="111" t="s">
        <v>381</v>
      </c>
      <c r="K1" s="7" t="str">
        <f>VERSION</f>
        <v>11-30</v>
      </c>
    </row>
    <row r="2" spans="1:11" x14ac:dyDescent="0.2">
      <c r="A2" s="350">
        <f>'Terms of Call'!E4</f>
        <v>21</v>
      </c>
      <c r="B2" s="351" t="s">
        <v>545</v>
      </c>
      <c r="F2" s="719" t="str">
        <f>IF(NCHURCHES&lt;=1,"from one church","Yoked Call use Report2 tab.")</f>
        <v>from one church</v>
      </c>
      <c r="G2" s="719"/>
      <c r="H2" s="719"/>
      <c r="I2" s="719"/>
      <c r="K2" s="352" t="str">
        <f>DRAFT</f>
        <v xml:space="preserve"> </v>
      </c>
    </row>
    <row r="3" spans="1:11" x14ac:dyDescent="0.2">
      <c r="A3" s="350">
        <f>'Terms of Call'!E5</f>
        <v>0</v>
      </c>
      <c r="B3" s="351" t="s">
        <v>546</v>
      </c>
      <c r="K3" s="387" t="str">
        <f>DRAFT2</f>
        <v xml:space="preserve"> </v>
      </c>
    </row>
    <row r="4" spans="1:11" ht="15.75" x14ac:dyDescent="0.25">
      <c r="A4" s="6"/>
      <c r="B4" s="1" t="s">
        <v>520</v>
      </c>
      <c r="C4" s="347">
        <f>PASTOR</f>
        <v>0</v>
      </c>
    </row>
    <row r="5" spans="1:11" x14ac:dyDescent="0.2">
      <c r="C5" s="6">
        <f>E_Type</f>
        <v>0</v>
      </c>
    </row>
    <row r="6" spans="1:11" ht="15.75" x14ac:dyDescent="0.25">
      <c r="A6" s="6"/>
      <c r="B6" s="1" t="s">
        <v>524</v>
      </c>
      <c r="C6" s="347" t="str">
        <f>IF(NCHURCHES&lt;1,"",VLOOKUP('Terms of Call'!I18,CHURCHES,2,FALSE))</f>
        <v/>
      </c>
      <c r="K6" s="348" t="str">
        <f>IF(NCHURCHES&lt;1,"",VLOOKUP('Terms of Call'!I18,CHURCHES,3,FALSE))</f>
        <v/>
      </c>
    </row>
    <row r="7" spans="1:11" ht="15.75" x14ac:dyDescent="0.25">
      <c r="A7" s="6"/>
      <c r="B7" s="1" t="s">
        <v>521</v>
      </c>
      <c r="C7" s="347">
        <f>TITLE</f>
        <v>0</v>
      </c>
    </row>
    <row r="8" spans="1:11" x14ac:dyDescent="0.2">
      <c r="A8" s="6"/>
      <c r="B8" s="1"/>
      <c r="C8" s="6" t="str">
        <f>CONCATENATE(I_TYPE," ",P_TYPE)</f>
        <v xml:space="preserve"> </v>
      </c>
    </row>
    <row r="9" spans="1:11" ht="12" customHeight="1" x14ac:dyDescent="0.2">
      <c r="D9" s="357" t="str">
        <f>IF('Terms of Call'!I35=40,"Full Time","Part Time")</f>
        <v>Part Time</v>
      </c>
      <c r="E9" s="7">
        <f>HR_PER_WK</f>
        <v>40</v>
      </c>
      <c r="F9" s="85" t="s">
        <v>544</v>
      </c>
      <c r="H9" s="777">
        <f>PCT_FULL_TIME</f>
        <v>1</v>
      </c>
      <c r="I9" s="777"/>
      <c r="J9" s="87" t="s">
        <v>648</v>
      </c>
      <c r="K9" s="349" t="str">
        <f>IF('Terms of Call'!I36="P",'Terms of Call'!I38,"")</f>
        <v/>
      </c>
    </row>
    <row r="10" spans="1:11" ht="12" customHeight="1" x14ac:dyDescent="0.2">
      <c r="B10" s="111" t="s">
        <v>646</v>
      </c>
      <c r="C10" s="690">
        <f>'Terms of Call'!K37</f>
        <v>44927</v>
      </c>
      <c r="D10" s="690"/>
      <c r="E10" s="87" t="s">
        <v>647</v>
      </c>
      <c r="F10" s="779">
        <f>'Terms of Call'!K38</f>
        <v>45291</v>
      </c>
      <c r="G10" s="779"/>
      <c r="H10" s="780">
        <f>PCT_YEAR</f>
        <v>1</v>
      </c>
      <c r="I10" s="780"/>
      <c r="J10" s="103" t="s">
        <v>634</v>
      </c>
    </row>
    <row r="11" spans="1:11" ht="12" customHeight="1" x14ac:dyDescent="0.2">
      <c r="D11" s="357"/>
      <c r="E11" s="7"/>
      <c r="F11" s="85"/>
      <c r="H11" s="440"/>
      <c r="I11" s="7"/>
      <c r="J11" s="349"/>
    </row>
    <row r="12" spans="1:11" ht="16.5" thickBot="1" x14ac:dyDescent="0.3">
      <c r="A12" s="347" t="s">
        <v>522</v>
      </c>
      <c r="B12" s="347"/>
      <c r="G12" s="719" t="str">
        <f>'Compensation Guidelines'!O11</f>
        <v>NCIP</v>
      </c>
      <c r="H12" s="719"/>
      <c r="I12" s="703" t="s">
        <v>5</v>
      </c>
      <c r="J12" s="657"/>
    </row>
    <row r="13" spans="1:11" ht="13.5" thickBot="1" x14ac:dyDescent="0.25">
      <c r="B13" s="6" t="s">
        <v>1</v>
      </c>
      <c r="C13" s="103"/>
      <c r="G13" s="768">
        <f>'Terms of Call'!Q48</f>
        <v>0</v>
      </c>
      <c r="H13" s="769"/>
      <c r="I13" s="778">
        <f>G13</f>
        <v>0</v>
      </c>
      <c r="J13" s="766"/>
    </row>
    <row r="14" spans="1:11" ht="13.5" thickBot="1" x14ac:dyDescent="0.25">
      <c r="B14" s="6" t="str">
        <f>IF(MANSE,"Manse","Housing")</f>
        <v>Housing</v>
      </c>
      <c r="C14" s="103" t="str">
        <f>IF(MANSE="M","Fair rental value"," Allowance")</f>
        <v xml:space="preserve"> Allowance</v>
      </c>
      <c r="G14" s="768">
        <f>'Terms of Call'!Q54</f>
        <v>0</v>
      </c>
      <c r="H14" s="769"/>
      <c r="I14" s="778">
        <f>'Terms of Call'!R54</f>
        <v>0</v>
      </c>
      <c r="J14" s="766"/>
    </row>
    <row r="15" spans="1:11" x14ac:dyDescent="0.2">
      <c r="C15" s="103" t="s">
        <v>2</v>
      </c>
      <c r="G15" s="774">
        <f>'Terms of Call'!Q55</f>
        <v>0</v>
      </c>
      <c r="H15" s="774"/>
      <c r="I15" s="766">
        <f>G15</f>
        <v>0</v>
      </c>
      <c r="J15" s="766"/>
    </row>
    <row r="16" spans="1:11" x14ac:dyDescent="0.2">
      <c r="C16" s="103" t="s">
        <v>3</v>
      </c>
      <c r="G16" s="766">
        <f>'Terms of Call'!Q56</f>
        <v>0</v>
      </c>
      <c r="H16" s="766"/>
      <c r="I16" s="766">
        <f>G16</f>
        <v>0</v>
      </c>
      <c r="J16" s="766"/>
    </row>
    <row r="17" spans="1:10" x14ac:dyDescent="0.2">
      <c r="B17" s="6" t="s">
        <v>33</v>
      </c>
      <c r="C17" s="462">
        <f>SECA_ENTRY</f>
        <v>0</v>
      </c>
      <c r="D17" s="85" t="str">
        <f>IF(SECA_ENTRY="E","Exempt","church contribution to SECA tax")</f>
        <v>church contribution to SECA tax</v>
      </c>
      <c r="E17" s="103"/>
      <c r="G17" s="766">
        <f>'Terms of Call'!Q60</f>
        <v>0</v>
      </c>
      <c r="H17" s="766"/>
      <c r="I17" s="766">
        <f>'Terms of Call'!R60</f>
        <v>0</v>
      </c>
      <c r="J17" s="766"/>
    </row>
    <row r="18" spans="1:10" x14ac:dyDescent="0.2">
      <c r="B18" s="6" t="s">
        <v>529</v>
      </c>
      <c r="C18" s="103"/>
      <c r="D18" s="103"/>
      <c r="E18" s="103"/>
      <c r="G18" s="657"/>
      <c r="H18" s="657"/>
      <c r="I18" s="657"/>
      <c r="J18" s="657"/>
    </row>
    <row r="19" spans="1:10" x14ac:dyDescent="0.2">
      <c r="C19" s="103" t="s">
        <v>526</v>
      </c>
      <c r="G19" s="766">
        <f>'Terms of Call'!Q62</f>
        <v>0</v>
      </c>
      <c r="H19" s="766"/>
    </row>
    <row r="20" spans="1:10" x14ac:dyDescent="0.2">
      <c r="C20" s="103" t="s">
        <v>525</v>
      </c>
      <c r="G20" s="766">
        <f>'Terms of Call'!Q63</f>
        <v>0</v>
      </c>
      <c r="H20" s="766"/>
      <c r="I20" s="766">
        <f>G20</f>
        <v>0</v>
      </c>
      <c r="J20" s="766"/>
    </row>
    <row r="21" spans="1:10" x14ac:dyDescent="0.2">
      <c r="C21" s="103" t="s">
        <v>261</v>
      </c>
      <c r="G21" s="766">
        <f>'Terms of Call'!Q64</f>
        <v>0</v>
      </c>
      <c r="H21" s="766"/>
      <c r="I21" s="766">
        <f>G21</f>
        <v>0</v>
      </c>
      <c r="J21" s="766"/>
    </row>
    <row r="22" spans="1:10" x14ac:dyDescent="0.2">
      <c r="C22" s="103" t="s">
        <v>527</v>
      </c>
      <c r="G22" s="766">
        <f>'Terms of Call'!Q65</f>
        <v>0</v>
      </c>
      <c r="H22" s="766"/>
    </row>
    <row r="23" spans="1:10" x14ac:dyDescent="0.2">
      <c r="C23" s="103" t="s">
        <v>263</v>
      </c>
      <c r="G23" s="766">
        <f>'Terms of Call'!Q66</f>
        <v>0</v>
      </c>
      <c r="H23" s="766"/>
      <c r="I23" s="766">
        <f>G23</f>
        <v>0</v>
      </c>
      <c r="J23" s="766"/>
    </row>
    <row r="24" spans="1:10" ht="13.5" thickBot="1" x14ac:dyDescent="0.25">
      <c r="C24" s="103" t="s">
        <v>528</v>
      </c>
      <c r="G24" s="783">
        <f>'Terms of Call'!Q67</f>
        <v>0</v>
      </c>
      <c r="H24" s="783"/>
      <c r="I24" s="773">
        <f>G24</f>
        <v>0</v>
      </c>
      <c r="J24" s="773"/>
    </row>
    <row r="25" spans="1:10" ht="16.5" thickBot="1" x14ac:dyDescent="0.3">
      <c r="A25" s="347" t="s">
        <v>27</v>
      </c>
      <c r="C25" s="103"/>
      <c r="D25" s="103"/>
      <c r="F25" s="111" t="s">
        <v>558</v>
      </c>
      <c r="G25" s="768">
        <f>SUM(G13:G24)</f>
        <v>0</v>
      </c>
      <c r="H25" s="769"/>
    </row>
    <row r="26" spans="1:10" ht="13.5" thickBot="1" x14ac:dyDescent="0.25">
      <c r="B26" s="6"/>
      <c r="C26" s="85"/>
      <c r="D26" s="196"/>
      <c r="F26" s="111" t="e">
        <f>CONCATENATE(IF(EFFECTIVE_SALARY&lt;MIN_SALARY,"BELOW","MEETS")," the ",'Terms of Call'!P41," minimum for Level ",LEVEL,"  ► ")</f>
        <v>#N/A</v>
      </c>
      <c r="G26" s="774" t="e">
        <f>'Terms of Call'!Q70</f>
        <v>#N/A</v>
      </c>
      <c r="H26" s="774"/>
      <c r="I26" s="349"/>
    </row>
    <row r="27" spans="1:10" ht="13.5" thickBot="1" x14ac:dyDescent="0.25">
      <c r="B27" s="6" t="s">
        <v>523</v>
      </c>
      <c r="C27" s="6"/>
      <c r="F27" s="85"/>
      <c r="G27" s="85"/>
      <c r="H27" s="111" t="s">
        <v>538</v>
      </c>
      <c r="I27" s="775">
        <f>'Terms of Call'!R69</f>
        <v>0</v>
      </c>
      <c r="J27" s="776"/>
    </row>
    <row r="28" spans="1:10" ht="15.75" x14ac:dyDescent="0.25">
      <c r="A28" s="347" t="s">
        <v>530</v>
      </c>
      <c r="E28" s="73" t="str">
        <f>'Terms of Call'!J73</f>
        <v>Complete secttions 1 thru 5 before proceeding.</v>
      </c>
      <c r="F28" s="317"/>
      <c r="G28" s="317"/>
      <c r="H28" s="317"/>
      <c r="I28" s="85"/>
      <c r="J28" s="85" t="s">
        <v>556</v>
      </c>
    </row>
    <row r="29" spans="1:10" ht="15.75" customHeight="1" x14ac:dyDescent="0.25">
      <c r="A29" s="347"/>
      <c r="B29" s="96" t="s">
        <v>763</v>
      </c>
      <c r="C29" s="103"/>
      <c r="D29" s="347" t="e">
        <f>'Terms of Call'!K79</f>
        <v>#N/A</v>
      </c>
      <c r="E29" s="73"/>
      <c r="F29" s="317"/>
      <c r="G29" s="317" t="s">
        <v>315</v>
      </c>
      <c r="H29" s="317"/>
      <c r="I29" s="85"/>
      <c r="J29" s="85" t="s">
        <v>557</v>
      </c>
    </row>
    <row r="30" spans="1:10" x14ac:dyDescent="0.2">
      <c r="B30" s="103" t="s">
        <v>16</v>
      </c>
      <c r="E30" s="103" t="e">
        <f>'Terms of Call'!K83</f>
        <v>#N/A</v>
      </c>
      <c r="G30" s="766">
        <f>'Terms of Call'!Q83</f>
        <v>0</v>
      </c>
      <c r="H30" s="766"/>
      <c r="J30" s="85"/>
    </row>
    <row r="31" spans="1:10" x14ac:dyDescent="0.2">
      <c r="B31" s="103" t="s">
        <v>257</v>
      </c>
      <c r="E31" s="103" t="e">
        <f>'Terms of Call'!K84</f>
        <v>#N/A</v>
      </c>
      <c r="G31" s="766">
        <f>'Terms of Call'!Q84</f>
        <v>0</v>
      </c>
      <c r="H31" s="766"/>
    </row>
    <row r="32" spans="1:10" ht="12" customHeight="1" x14ac:dyDescent="0.2">
      <c r="B32" s="103" t="s">
        <v>738</v>
      </c>
      <c r="E32" s="103" t="e">
        <f>'Terms of Call'!K85</f>
        <v>#N/A</v>
      </c>
      <c r="G32" s="766">
        <f>'Terms of Call'!Q85</f>
        <v>0</v>
      </c>
      <c r="H32" s="766"/>
    </row>
    <row r="33" spans="1:11" x14ac:dyDescent="0.2">
      <c r="B33" s="103" t="s">
        <v>760</v>
      </c>
      <c r="E33" s="103" t="e">
        <f>'Terms of Call'!K86</f>
        <v>#N/A</v>
      </c>
      <c r="G33" s="766">
        <f>'Terms of Call'!Q86</f>
        <v>0</v>
      </c>
      <c r="H33" s="766"/>
    </row>
    <row r="34" spans="1:11" x14ac:dyDescent="0.2">
      <c r="B34" s="103" t="str">
        <f>IF(BOP_PGM="R",'Terms of Call'!H88,IF(BOP_PGM="P",'Terms of Call'!H87,'Terms of Call'!H92))</f>
        <v>Medical Selected Benefits</v>
      </c>
      <c r="C34" s="103"/>
      <c r="E34" s="103" t="str">
        <f>IF(BOP_PGM="P",'Terms of Call'!K87,IF(BOP_PGM="R",'Terms of Call'!K88,IF(OR('Terms of Call'!I92="N",'Terms of Call'!A92=0),'Terms of Call'!K92,'Terms of Call'!I92)))</f>
        <v>Not Available</v>
      </c>
      <c r="G34" s="766">
        <f>'Terms of Call'!Q87+'Terms of Call'!Q88+'Terms of Call'!Q97</f>
        <v>0</v>
      </c>
      <c r="H34" s="766"/>
      <c r="I34" s="103" t="str">
        <f>IF(AND(OR(BOP_PGM="S",BOP_PGM="M"),NOT('Terms of Call'!I92="N"))," Maximum","")</f>
        <v/>
      </c>
      <c r="K34" s="214" t="str">
        <f>'Terms of Call'!S97</f>
        <v/>
      </c>
    </row>
    <row r="35" spans="1:11" x14ac:dyDescent="0.2">
      <c r="B35" s="103" t="s">
        <v>531</v>
      </c>
      <c r="C35" s="103"/>
      <c r="E35">
        <f>IF('Terms of Call'!I100="N","Not Offered",'Terms of Call'!I100)</f>
        <v>0</v>
      </c>
      <c r="G35" s="766">
        <f>'Terms of Call'!Q105</f>
        <v>0</v>
      </c>
      <c r="H35" s="766"/>
      <c r="I35" s="103" t="str">
        <f>IF(G35&gt;0," Maximum","")</f>
        <v/>
      </c>
      <c r="K35" s="214"/>
    </row>
    <row r="36" spans="1:11" x14ac:dyDescent="0.2">
      <c r="B36" s="103" t="s">
        <v>598</v>
      </c>
      <c r="E36" t="str">
        <f>IF('Terms of Call'!C106="O","Offered","Not Offered")</f>
        <v>Not Offered</v>
      </c>
      <c r="G36" s="766">
        <f>'Terms of Call'!Q111</f>
        <v>0</v>
      </c>
      <c r="H36" s="766"/>
      <c r="I36" s="103" t="str">
        <f>IF('Terms of Call'!C106="O"," Maximum","")</f>
        <v/>
      </c>
      <c r="K36" s="214"/>
    </row>
    <row r="37" spans="1:11" x14ac:dyDescent="0.2">
      <c r="B37" s="103" t="s">
        <v>809</v>
      </c>
      <c r="D37" s="134" t="str">
        <f>'Terms of Call'!L120</f>
        <v xml:space="preserve">Not allowed            </v>
      </c>
      <c r="E37" s="781">
        <f>'Terms of Call'!M120</f>
        <v>0</v>
      </c>
      <c r="F37" s="782"/>
      <c r="G37" s="766">
        <f>'Terms of Call'!Q120</f>
        <v>0</v>
      </c>
      <c r="H37" s="766"/>
      <c r="I37" s="103"/>
    </row>
    <row r="38" spans="1:11" x14ac:dyDescent="0.2">
      <c r="B38" s="103" t="s">
        <v>442</v>
      </c>
      <c r="E38" t="str">
        <f>'Terms of Call'!K124</f>
        <v>Not Allowed</v>
      </c>
      <c r="I38" s="103"/>
      <c r="J38" s="103" t="s">
        <v>553</v>
      </c>
    </row>
    <row r="39" spans="1:11" x14ac:dyDescent="0.2">
      <c r="B39" s="103" t="s">
        <v>443</v>
      </c>
      <c r="E39" t="str">
        <f>'Terms of Call'!K125</f>
        <v>Not Allowed</v>
      </c>
      <c r="I39" s="103"/>
      <c r="J39" s="103" t="s">
        <v>553</v>
      </c>
    </row>
    <row r="40" spans="1:11" x14ac:dyDescent="0.2">
      <c r="B40" s="103" t="s">
        <v>532</v>
      </c>
      <c r="E40" t="str">
        <f>'Terms of Call'!K121</f>
        <v>◄ Health, Dependent, Both, or Not Offered?</v>
      </c>
      <c r="G40" s="766">
        <f>'Terms of Call'!Q121</f>
        <v>0</v>
      </c>
      <c r="H40" s="766"/>
      <c r="I40" s="103"/>
    </row>
    <row r="41" spans="1:11" x14ac:dyDescent="0.2">
      <c r="B41" s="103" t="s">
        <v>543</v>
      </c>
      <c r="G41" s="766">
        <f>SUM(G30:G40)</f>
        <v>0</v>
      </c>
      <c r="H41" s="766"/>
      <c r="I41" s="103" t="s">
        <v>649</v>
      </c>
    </row>
    <row r="42" spans="1:11" ht="15.75" x14ac:dyDescent="0.25">
      <c r="A42" s="347" t="s">
        <v>533</v>
      </c>
      <c r="E42" s="85" t="s">
        <v>537</v>
      </c>
      <c r="F42" s="85"/>
      <c r="G42" s="85"/>
    </row>
    <row r="43" spans="1:11" x14ac:dyDescent="0.2">
      <c r="B43" s="103" t="s">
        <v>534</v>
      </c>
      <c r="G43" s="766">
        <f>'Terms of Call'!I131</f>
        <v>0</v>
      </c>
      <c r="H43" s="766"/>
    </row>
    <row r="44" spans="1:11" x14ac:dyDescent="0.2">
      <c r="B44" s="103" t="s">
        <v>305</v>
      </c>
      <c r="G44" s="766">
        <f>'Terms of Call'!I132</f>
        <v>0</v>
      </c>
      <c r="H44" s="766"/>
    </row>
    <row r="45" spans="1:11" x14ac:dyDescent="0.2">
      <c r="B45" s="103" t="s">
        <v>306</v>
      </c>
      <c r="G45" s="766">
        <f>'Terms of Call'!I133</f>
        <v>0</v>
      </c>
      <c r="H45" s="766"/>
    </row>
    <row r="46" spans="1:11" x14ac:dyDescent="0.2">
      <c r="B46" s="103" t="str">
        <f>IF(ISBLANK('Terms of Call'!I135),"",'Terms of Call'!I135)</f>
        <v/>
      </c>
      <c r="G46" s="766">
        <f>'Terms of Call'!I134</f>
        <v>0</v>
      </c>
      <c r="H46" s="766"/>
    </row>
    <row r="47" spans="1:11" x14ac:dyDescent="0.2">
      <c r="B47" s="103" t="str">
        <f>IF(ISBLANK('Terms of Call'!I136),"",'Terms of Call'!I136)</f>
        <v/>
      </c>
    </row>
    <row r="48" spans="1:11" x14ac:dyDescent="0.2">
      <c r="B48" s="103" t="s">
        <v>535</v>
      </c>
      <c r="G48" s="766">
        <f>'Terms of Call'!Q137</f>
        <v>0</v>
      </c>
      <c r="H48" s="766"/>
    </row>
    <row r="49" spans="1:11" ht="15.75" x14ac:dyDescent="0.25">
      <c r="A49" s="347" t="s">
        <v>309</v>
      </c>
    </row>
    <row r="50" spans="1:11" x14ac:dyDescent="0.2">
      <c r="B50" s="103" t="s">
        <v>310</v>
      </c>
      <c r="E50" s="455">
        <f>'Terms of Call'!I139</f>
        <v>0</v>
      </c>
      <c r="F50" s="103" t="s">
        <v>539</v>
      </c>
      <c r="G50" s="103"/>
    </row>
    <row r="51" spans="1:11" ht="13.5" customHeight="1" thickBot="1" x14ac:dyDescent="0.25">
      <c r="B51" s="103" t="s">
        <v>536</v>
      </c>
      <c r="E51" s="455">
        <f>'Terms of Call'!I140</f>
        <v>0</v>
      </c>
      <c r="F51" s="103" t="s">
        <v>539</v>
      </c>
      <c r="G51" s="103"/>
      <c r="K51" s="772" t="str">
        <f>IF(MANSE="M","Includes FRV Manse","")</f>
        <v/>
      </c>
    </row>
    <row r="52" spans="1:11" ht="16.5" customHeight="1" thickBot="1" x14ac:dyDescent="0.3">
      <c r="A52" s="347" t="s">
        <v>600</v>
      </c>
      <c r="G52" s="768">
        <f>G25+G41+G48</f>
        <v>0</v>
      </c>
      <c r="H52" s="769"/>
      <c r="I52" s="103" t="s">
        <v>649</v>
      </c>
      <c r="K52" s="772"/>
    </row>
    <row r="53" spans="1:11" ht="13.5" thickBot="1" x14ac:dyDescent="0.25">
      <c r="B53" s="6" t="s">
        <v>555</v>
      </c>
      <c r="D53" s="111" t="s">
        <v>554</v>
      </c>
      <c r="E53" s="454">
        <f>PCT_YEAR</f>
        <v>1</v>
      </c>
      <c r="F53" s="103" t="s">
        <v>322</v>
      </c>
      <c r="G53" s="768">
        <f>'Terms of Call'!Q143</f>
        <v>0</v>
      </c>
      <c r="H53" s="769"/>
      <c r="K53" s="772"/>
    </row>
    <row r="54" spans="1:11" ht="15.75" x14ac:dyDescent="0.25">
      <c r="A54" s="347" t="s">
        <v>540</v>
      </c>
    </row>
    <row r="55" spans="1:11" ht="15.75" x14ac:dyDescent="0.25">
      <c r="B55" s="96" t="s">
        <v>520</v>
      </c>
      <c r="C55" s="347" t="str">
        <f>C6</f>
        <v/>
      </c>
      <c r="K55" s="1" t="str">
        <f>K6</f>
        <v/>
      </c>
    </row>
    <row r="56" spans="1:11" ht="14.25" customHeight="1" x14ac:dyDescent="0.2">
      <c r="D56" s="73">
        <f>'Terms of Call'!I166</f>
        <v>0</v>
      </c>
      <c r="E56" s="1"/>
      <c r="F56" s="770" t="str">
        <f>IF(ISBLANK('Terms of Call'!L166),"",'Terms of Call'!L166)</f>
        <v/>
      </c>
      <c r="G56" s="770"/>
    </row>
    <row r="57" spans="1:11" x14ac:dyDescent="0.2">
      <c r="C57" s="103"/>
      <c r="D57" s="85" t="str">
        <f>CONCATENATE("by the ",IF(ISBLANK('Terms of Call'!O166),'Terms of Call'!M166,'Terms of Call'!O166))</f>
        <v xml:space="preserve">by the </v>
      </c>
      <c r="E57" s="103"/>
      <c r="F57" s="7"/>
      <c r="G57" s="103"/>
      <c r="H57" s="206"/>
      <c r="I57" s="206"/>
      <c r="J57" s="206"/>
      <c r="K57" s="206"/>
    </row>
    <row r="58" spans="1:11" x14ac:dyDescent="0.2">
      <c r="F58" s="7"/>
      <c r="G58" s="103"/>
      <c r="H58" s="771" t="s">
        <v>333</v>
      </c>
      <c r="I58" s="771"/>
      <c r="J58" s="771"/>
      <c r="K58" s="771"/>
    </row>
    <row r="59" spans="1:11" x14ac:dyDescent="0.2">
      <c r="F59" s="7"/>
      <c r="G59" s="103"/>
      <c r="H59" s="87"/>
      <c r="I59" s="87"/>
      <c r="J59" s="87"/>
      <c r="K59" s="1" t="str">
        <f>'Terms of Call'!R170</f>
        <v>Not yet fully church-approved.</v>
      </c>
    </row>
    <row r="60" spans="1:11" ht="15.75" x14ac:dyDescent="0.25">
      <c r="B60" s="96" t="s">
        <v>520</v>
      </c>
      <c r="C60" s="347">
        <f>C4</f>
        <v>0</v>
      </c>
    </row>
    <row r="61" spans="1:11" x14ac:dyDescent="0.2">
      <c r="D61" s="73">
        <f>'Terms of Call'!I176</f>
        <v>0</v>
      </c>
      <c r="E61" s="1"/>
      <c r="F61" s="770" t="str">
        <f>IF(ISBLANK('Terms of Call'!L176),"",'Terms of Call'!L176)</f>
        <v/>
      </c>
      <c r="G61" s="770"/>
    </row>
    <row r="62" spans="1:11" x14ac:dyDescent="0.2">
      <c r="C62" s="103"/>
      <c r="D62" s="380"/>
      <c r="F62" s="7" t="str">
        <f>IF(F61="","(date)","")</f>
        <v>(date)</v>
      </c>
      <c r="H62" s="206"/>
      <c r="I62" s="206"/>
      <c r="J62" s="206"/>
      <c r="K62" s="206"/>
    </row>
    <row r="63" spans="1:11" ht="12" customHeight="1" x14ac:dyDescent="0.2">
      <c r="D63" s="7"/>
      <c r="H63" s="767" t="s">
        <v>334</v>
      </c>
      <c r="I63" s="767"/>
      <c r="J63" s="767"/>
      <c r="K63" s="767"/>
    </row>
    <row r="64" spans="1:11" ht="12" customHeight="1" x14ac:dyDescent="0.2">
      <c r="D64" s="7"/>
      <c r="H64" s="383"/>
      <c r="I64" s="383"/>
      <c r="J64" s="383"/>
      <c r="K64" s="1" t="str">
        <f>'Terms of Call'!R176</f>
        <v>Not yet employee-approved</v>
      </c>
    </row>
    <row r="65" spans="2:11" ht="15.75" x14ac:dyDescent="0.25">
      <c r="B65" s="96" t="s">
        <v>520</v>
      </c>
      <c r="C65" s="347" t="str">
        <f>A1</f>
        <v>Presbytery of North Central Iowa</v>
      </c>
    </row>
    <row r="66" spans="2:11" x14ac:dyDescent="0.2">
      <c r="D66" s="73" t="s">
        <v>332</v>
      </c>
      <c r="E66" s="6"/>
      <c r="F66" s="380"/>
      <c r="G66" s="6"/>
    </row>
    <row r="67" spans="2:11" x14ac:dyDescent="0.2">
      <c r="C67" s="103"/>
      <c r="D67" s="103" t="s">
        <v>541</v>
      </c>
      <c r="F67" s="7" t="str">
        <f>IF(ISBLANK(F66),"(date)","")</f>
        <v>(date)</v>
      </c>
      <c r="H67" s="206"/>
      <c r="I67" s="206"/>
      <c r="J67" s="206"/>
      <c r="K67" s="206"/>
    </row>
    <row r="68" spans="2:11" x14ac:dyDescent="0.2">
      <c r="D68" s="103" t="s">
        <v>582</v>
      </c>
      <c r="H68" s="767" t="s">
        <v>334</v>
      </c>
      <c r="I68" s="767"/>
      <c r="J68" s="767"/>
      <c r="K68" s="767"/>
    </row>
  </sheetData>
  <sheetProtection sheet="1" selectLockedCells="1" selectUnlockedCells="1"/>
  <mergeCells count="56">
    <mergeCell ref="E37:F37"/>
    <mergeCell ref="G37:H37"/>
    <mergeCell ref="G34:H34"/>
    <mergeCell ref="G35:H35"/>
    <mergeCell ref="G22:H22"/>
    <mergeCell ref="G36:H36"/>
    <mergeCell ref="G24:H24"/>
    <mergeCell ref="G31:H31"/>
    <mergeCell ref="G32:H32"/>
    <mergeCell ref="G33:H33"/>
    <mergeCell ref="G19:H19"/>
    <mergeCell ref="G23:H23"/>
    <mergeCell ref="I23:J23"/>
    <mergeCell ref="G20:H20"/>
    <mergeCell ref="I20:J20"/>
    <mergeCell ref="F2:I2"/>
    <mergeCell ref="G12:H12"/>
    <mergeCell ref="I12:J12"/>
    <mergeCell ref="G13:H13"/>
    <mergeCell ref="I13:J13"/>
    <mergeCell ref="C10:D10"/>
    <mergeCell ref="H9:I9"/>
    <mergeCell ref="G21:H21"/>
    <mergeCell ref="I21:J21"/>
    <mergeCell ref="G14:H14"/>
    <mergeCell ref="I14:J14"/>
    <mergeCell ref="G15:H15"/>
    <mergeCell ref="I15:J15"/>
    <mergeCell ref="G16:H16"/>
    <mergeCell ref="I16:J16"/>
    <mergeCell ref="F10:G10"/>
    <mergeCell ref="H10:I10"/>
    <mergeCell ref="G17:H17"/>
    <mergeCell ref="I17:J17"/>
    <mergeCell ref="G18:H18"/>
    <mergeCell ref="I18:J18"/>
    <mergeCell ref="I24:J24"/>
    <mergeCell ref="G25:H25"/>
    <mergeCell ref="G26:H26"/>
    <mergeCell ref="I27:J27"/>
    <mergeCell ref="G30:H30"/>
    <mergeCell ref="G40:H40"/>
    <mergeCell ref="H68:K68"/>
    <mergeCell ref="G43:H43"/>
    <mergeCell ref="G44:H44"/>
    <mergeCell ref="G45:H45"/>
    <mergeCell ref="G46:H46"/>
    <mergeCell ref="G48:H48"/>
    <mergeCell ref="G52:H52"/>
    <mergeCell ref="G53:H53"/>
    <mergeCell ref="F56:G56"/>
    <mergeCell ref="H58:K58"/>
    <mergeCell ref="F61:G61"/>
    <mergeCell ref="H63:K63"/>
    <mergeCell ref="G41:H41"/>
    <mergeCell ref="K51:K53"/>
  </mergeCells>
  <conditionalFormatting sqref="A2:E3 F3">
    <cfRule type="expression" dxfId="20" priority="1" stopIfTrue="1">
      <formula>$A2&gt;0</formula>
    </cfRule>
  </conditionalFormatting>
  <conditionalFormatting sqref="B53:H53">
    <cfRule type="expression" dxfId="19" priority="8" stopIfTrue="1">
      <formula>PCT_YEAR=100%</formula>
    </cfRule>
  </conditionalFormatting>
  <conditionalFormatting sqref="F2:I2">
    <cfRule type="expression" dxfId="18" priority="2" stopIfTrue="1">
      <formula>NCHURCHES&gt;1</formula>
    </cfRule>
  </conditionalFormatting>
  <printOptions horizontalCentered="1"/>
  <pageMargins left="0.7" right="0.7" top="0.5" bottom="0.5" header="0.3" footer="0.3"/>
  <pageSetup scale="80" orientation="portrait" r:id="rId1"/>
  <headerFooter>
    <oddFooter>&amp;L&amp;F  &amp;A</oddFooter>
  </headerFooter>
  <extLst>
    <ext xmlns:x14="http://schemas.microsoft.com/office/spreadsheetml/2009/9/main" uri="{78C0D931-6437-407d-A8EE-F0AAD7539E65}">
      <x14:conditionalFormattings>
        <x14:conditionalFormatting xmlns:xm="http://schemas.microsoft.com/office/excel/2006/main">
          <x14:cfRule type="expression" priority="9" stopIfTrue="1" id="{568448AD-A353-452E-9433-9889744140B3}">
            <xm:f>'Terms of Call'!$C$159=1</xm:f>
            <x14:dxf>
              <font>
                <color theme="0" tint="-0.24994659260841701"/>
              </font>
            </x14:dxf>
          </x14:cfRule>
          <xm:sqref>B65:K68</xm:sqref>
        </x14:conditionalFormatting>
      </x14:conditionalFormattings>
    </ext>
    <ext xmlns:x14="http://schemas.microsoft.com/office/spreadsheetml/2009/9/main" uri="{CCE6A557-97BC-4b89-ADB6-D9C93CAAB3DF}">
      <x14:dataValidations xmlns:xm="http://schemas.microsoft.com/office/excel/2006/main" disablePrompts="1" count="3">
        <x14:dataValidation type="date" allowBlank="1" showInputMessage="1" showErrorMessage="1" xr:uid="{EBDFDDCD-26AF-43C2-8E23-14969CA48BA2}">
          <x14:formula1>
            <xm:f>'Compensation Guidelines'!Q13</xm:f>
          </x14:formula1>
          <x14:formula2>
            <xm:f>'Compensation Guidelines'!Q15</xm:f>
          </x14:formula2>
          <xm:sqref>F56</xm:sqref>
        </x14:dataValidation>
        <x14:dataValidation type="date" allowBlank="1" showInputMessage="1" showErrorMessage="1" xr:uid="{B5DCF976-BEC0-4909-931E-D8C0CBA9DC8B}">
          <x14:formula1>
            <xm:f>'Compensation Guidelines'!O17</xm:f>
          </x14:formula1>
          <x14:formula2>
            <xm:f>'Compensation Guidelines'!O19</xm:f>
          </x14:formula2>
          <xm:sqref>F61 D62</xm:sqref>
        </x14:dataValidation>
        <x14:dataValidation type="date" allowBlank="1" showInputMessage="1" showErrorMessage="1" xr:uid="{70E9ED13-4B38-4D00-A958-88819729AC28}">
          <x14:formula1>
            <xm:f>'Compensation Guidelines'!Q22</xm:f>
          </x14:formula1>
          <x14:formula2>
            <xm:f>'Compensation Guidelines'!#REF!</xm:f>
          </x14:formula2>
          <xm:sqref>F66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89"/>
  <sheetViews>
    <sheetView showGridLines="0" showRowColHeaders="0" workbookViewId="0">
      <selection activeCell="B2" sqref="B2"/>
    </sheetView>
  </sheetViews>
  <sheetFormatPr defaultColWidth="10" defaultRowHeight="12.75" x14ac:dyDescent="0.2"/>
  <cols>
    <col min="1" max="1" width="5" customWidth="1"/>
    <col min="2" max="2" width="8" customWidth="1"/>
    <col min="3" max="3" width="6.5703125" customWidth="1"/>
    <col min="4" max="4" width="12.140625" customWidth="1"/>
    <col min="5" max="5" width="6.5703125" customWidth="1"/>
    <col min="6" max="6" width="10" customWidth="1"/>
    <col min="7" max="7" width="8.5703125" customWidth="1"/>
    <col min="8" max="8" width="7.5703125" customWidth="1"/>
    <col min="9" max="9" width="5.42578125" customWidth="1"/>
    <col min="10" max="10" width="10.140625" customWidth="1"/>
    <col min="11" max="11" width="9.28515625" customWidth="1"/>
  </cols>
  <sheetData>
    <row r="1" spans="1:11" ht="18" x14ac:dyDescent="0.25">
      <c r="A1" s="347" t="str">
        <f>PRESBYTERY</f>
        <v>Presbytery of North Central Iowa</v>
      </c>
      <c r="B1" s="347"/>
      <c r="F1" s="433">
        <f>YEAR</f>
        <v>2023</v>
      </c>
      <c r="G1" s="433" t="s">
        <v>401</v>
      </c>
      <c r="H1" s="433"/>
      <c r="I1" s="433"/>
      <c r="J1" s="111" t="s">
        <v>381</v>
      </c>
      <c r="K1" s="7" t="str">
        <f>VERSION</f>
        <v>11-30</v>
      </c>
    </row>
    <row r="2" spans="1:11" x14ac:dyDescent="0.2">
      <c r="A2" s="350">
        <f>'Terms of Call'!E4</f>
        <v>21</v>
      </c>
      <c r="B2" s="351" t="s">
        <v>545</v>
      </c>
      <c r="F2" s="719" t="str">
        <f>IF(NCHURCHES&gt;1,"from Yoked Churches","One church - use Report1 tab.")</f>
        <v>One church - use Report1 tab.</v>
      </c>
      <c r="G2" s="719"/>
      <c r="H2" s="719"/>
      <c r="I2" s="719"/>
      <c r="K2" s="352" t="str">
        <f>DRAFT</f>
        <v xml:space="preserve"> </v>
      </c>
    </row>
    <row r="3" spans="1:11" x14ac:dyDescent="0.2">
      <c r="A3" s="350">
        <f>'Terms of Call'!E5</f>
        <v>0</v>
      </c>
      <c r="B3" s="351" t="s">
        <v>546</v>
      </c>
      <c r="K3" s="387" t="str">
        <f>DRAFT2</f>
        <v xml:space="preserve"> </v>
      </c>
    </row>
    <row r="4" spans="1:11" ht="15.75" x14ac:dyDescent="0.25">
      <c r="A4" s="6"/>
      <c r="B4" s="1" t="s">
        <v>520</v>
      </c>
      <c r="C4" s="347">
        <f>PASTOR</f>
        <v>0</v>
      </c>
    </row>
    <row r="5" spans="1:11" x14ac:dyDescent="0.2">
      <c r="C5" s="6">
        <f>E_Type</f>
        <v>0</v>
      </c>
      <c r="H5" s="393"/>
      <c r="I5" s="393"/>
      <c r="J5" s="393"/>
      <c r="K5" s="393"/>
    </row>
    <row r="6" spans="1:11" ht="15.75" x14ac:dyDescent="0.25">
      <c r="A6" s="6"/>
      <c r="B6" s="1" t="s">
        <v>524</v>
      </c>
      <c r="C6" s="392">
        <f>NCHURCHES</f>
        <v>0</v>
      </c>
      <c r="D6" s="347" t="s">
        <v>601</v>
      </c>
      <c r="I6" s="103"/>
    </row>
    <row r="7" spans="1:11" ht="15.75" x14ac:dyDescent="0.25">
      <c r="A7" s="394">
        <v>1</v>
      </c>
      <c r="B7" s="1"/>
      <c r="C7" s="347" t="str">
        <f>IF(NCHURCHES&lt;1,"",VLOOKUP('Terms of Call'!I18,CHURCHES,2,FALSE))</f>
        <v/>
      </c>
      <c r="K7" s="348" t="str">
        <f>IF(NCHURCHES&lt;1,"",VLOOKUP('Terms of Call'!I18,CHURCHES,3,FALSE))</f>
        <v/>
      </c>
    </row>
    <row r="8" spans="1:11" ht="15.75" x14ac:dyDescent="0.25">
      <c r="A8" s="394">
        <v>2</v>
      </c>
      <c r="B8" s="1"/>
      <c r="C8" s="347" t="str">
        <f>IF(NCHURCHES&lt;1,"",VLOOKUP('Terms of Call'!I19,CHURCHES,2,FALSE))</f>
        <v/>
      </c>
      <c r="K8" s="348" t="str">
        <f>IF(NCHURCHES&lt;1,"",VLOOKUP('Terms of Call'!I19,CHURCHES,3,FALSE))</f>
        <v/>
      </c>
    </row>
    <row r="9" spans="1:11" ht="15.75" x14ac:dyDescent="0.25">
      <c r="A9" s="394">
        <v>3</v>
      </c>
      <c r="B9" s="1"/>
      <c r="C9" s="347" t="str">
        <f>IF(NCHURCHES&lt;1,"",VLOOKUP('Terms of Call'!I20,CHURCHES,2,FALSE))</f>
        <v/>
      </c>
      <c r="K9" s="348" t="str">
        <f>IF(NCHURCHES&lt;1,"",VLOOKUP('Terms of Call'!I20,CHURCHES,3,FALSE))</f>
        <v/>
      </c>
    </row>
    <row r="10" spans="1:11" ht="15.75" x14ac:dyDescent="0.25">
      <c r="A10" s="394">
        <v>4</v>
      </c>
      <c r="B10" s="1"/>
      <c r="C10" s="347" t="str">
        <f>IF(NCHURCHES&lt;1,"",VLOOKUP('Terms of Call'!I21,CHURCHES,2,FALSE))</f>
        <v/>
      </c>
      <c r="K10" s="348" t="str">
        <f>IF(NCHURCHES&lt;1,"",VLOOKUP('Terms of Call'!I21,CHURCHES,3,FALSE))</f>
        <v/>
      </c>
    </row>
    <row r="11" spans="1:11" ht="15.75" x14ac:dyDescent="0.25">
      <c r="A11" s="6"/>
      <c r="B11" s="1" t="s">
        <v>521</v>
      </c>
      <c r="C11" s="347">
        <f>TITLE</f>
        <v>0</v>
      </c>
    </row>
    <row r="12" spans="1:11" x14ac:dyDescent="0.2">
      <c r="A12" s="6"/>
      <c r="B12" s="1"/>
      <c r="C12" s="6" t="str">
        <f>CONCATENATE(I_TYPE," ",P_TYPE)</f>
        <v xml:space="preserve"> </v>
      </c>
    </row>
    <row r="13" spans="1:11" ht="12" customHeight="1" x14ac:dyDescent="0.2">
      <c r="D13" s="357" t="str">
        <f>IF('Terms of Call'!I39=40,"Full Time","Part Time")</f>
        <v>Part Time</v>
      </c>
      <c r="E13" s="7">
        <f>HR_PER_WK</f>
        <v>40</v>
      </c>
      <c r="F13" s="85" t="s">
        <v>544</v>
      </c>
      <c r="H13" s="777">
        <f>PCT_FULL_TIME</f>
        <v>1</v>
      </c>
      <c r="I13" s="777"/>
      <c r="J13" s="87" t="s">
        <v>648</v>
      </c>
    </row>
    <row r="14" spans="1:11" ht="12" customHeight="1" x14ac:dyDescent="0.2">
      <c r="B14" s="111" t="s">
        <v>646</v>
      </c>
      <c r="C14" s="690">
        <f>'Terms of Call'!K37</f>
        <v>44927</v>
      </c>
      <c r="D14" s="690"/>
      <c r="E14" s="87" t="s">
        <v>647</v>
      </c>
      <c r="F14" s="779">
        <f>'Terms of Call'!K38</f>
        <v>45291</v>
      </c>
      <c r="G14" s="779"/>
      <c r="H14" s="780">
        <f>PCT_YEAR</f>
        <v>1</v>
      </c>
      <c r="I14" s="780"/>
      <c r="J14" s="103" t="s">
        <v>634</v>
      </c>
    </row>
    <row r="15" spans="1:11" ht="16.5" thickBot="1" x14ac:dyDescent="0.3">
      <c r="A15" s="347" t="s">
        <v>522</v>
      </c>
      <c r="B15" s="347"/>
      <c r="G15" s="719" t="str">
        <f>'Compensation Guidelines'!O11</f>
        <v>NCIP</v>
      </c>
      <c r="H15" s="719"/>
      <c r="I15" s="703" t="s">
        <v>5</v>
      </c>
      <c r="J15" s="657"/>
    </row>
    <row r="16" spans="1:11" ht="13.5" thickBot="1" x14ac:dyDescent="0.25">
      <c r="B16" s="6" t="s">
        <v>1</v>
      </c>
      <c r="C16" s="103"/>
      <c r="G16" s="768">
        <f>'Terms of Call'!Q48</f>
        <v>0</v>
      </c>
      <c r="H16" s="769"/>
      <c r="I16" s="778">
        <f>G16</f>
        <v>0</v>
      </c>
      <c r="J16" s="766"/>
    </row>
    <row r="17" spans="1:10" ht="13.5" thickBot="1" x14ac:dyDescent="0.25">
      <c r="B17" s="6" t="str">
        <f>IF(MANSE,"Manse","Housing")</f>
        <v>Housing</v>
      </c>
      <c r="C17" s="103" t="str">
        <f>IF(MANSE,"Fair rental value"," Allowance")</f>
        <v xml:space="preserve"> Allowance</v>
      </c>
      <c r="G17" s="768">
        <f>'Terms of Call'!Q54</f>
        <v>0</v>
      </c>
      <c r="H17" s="769"/>
      <c r="I17" s="778">
        <f>'Terms of Call'!R54</f>
        <v>0</v>
      </c>
      <c r="J17" s="766"/>
    </row>
    <row r="18" spans="1:10" x14ac:dyDescent="0.2">
      <c r="C18" s="103" t="s">
        <v>2</v>
      </c>
      <c r="G18" s="774">
        <f>'Terms of Call'!Q55</f>
        <v>0</v>
      </c>
      <c r="H18" s="774"/>
      <c r="I18" s="766">
        <f>G18</f>
        <v>0</v>
      </c>
      <c r="J18" s="766"/>
    </row>
    <row r="19" spans="1:10" x14ac:dyDescent="0.2">
      <c r="C19" s="103" t="s">
        <v>3</v>
      </c>
      <c r="G19" s="766">
        <f>'Terms of Call'!Q56</f>
        <v>0</v>
      </c>
      <c r="H19" s="766"/>
      <c r="I19" s="766">
        <f>G19</f>
        <v>0</v>
      </c>
      <c r="J19" s="766"/>
    </row>
    <row r="20" spans="1:10" x14ac:dyDescent="0.2">
      <c r="B20" s="6" t="s">
        <v>33</v>
      </c>
      <c r="C20" s="462">
        <f>SECA_ENTRY</f>
        <v>0</v>
      </c>
      <c r="D20" s="85" t="str">
        <f>IF(SECA_ENTRY="E","Exempt","church contribution to SECA tax")</f>
        <v>church contribution to SECA tax</v>
      </c>
      <c r="E20" s="103"/>
      <c r="G20" s="766">
        <f>'Terms of Call'!Q60</f>
        <v>0</v>
      </c>
      <c r="H20" s="766"/>
      <c r="I20" s="766">
        <f>'Terms of Call'!R60</f>
        <v>0</v>
      </c>
      <c r="J20" s="766"/>
    </row>
    <row r="21" spans="1:10" x14ac:dyDescent="0.2">
      <c r="B21" s="6" t="s">
        <v>529</v>
      </c>
      <c r="C21" s="103"/>
      <c r="D21" s="103"/>
      <c r="E21" s="103"/>
      <c r="G21" s="657"/>
      <c r="H21" s="657"/>
      <c r="I21" s="657"/>
      <c r="J21" s="657"/>
    </row>
    <row r="22" spans="1:10" x14ac:dyDescent="0.2">
      <c r="C22" s="103" t="s">
        <v>526</v>
      </c>
      <c r="G22" s="766">
        <f>'Terms of Call'!Q62</f>
        <v>0</v>
      </c>
      <c r="H22" s="766"/>
    </row>
    <row r="23" spans="1:10" x14ac:dyDescent="0.2">
      <c r="C23" s="103" t="s">
        <v>525</v>
      </c>
      <c r="G23" s="766">
        <f>'Terms of Call'!Q63</f>
        <v>0</v>
      </c>
      <c r="H23" s="766"/>
      <c r="I23" s="766">
        <f>G23</f>
        <v>0</v>
      </c>
      <c r="J23" s="766"/>
    </row>
    <row r="24" spans="1:10" x14ac:dyDescent="0.2">
      <c r="C24" s="103" t="s">
        <v>261</v>
      </c>
      <c r="G24" s="766">
        <f>'Terms of Call'!Q64</f>
        <v>0</v>
      </c>
      <c r="H24" s="766"/>
      <c r="I24" s="766">
        <f>G24</f>
        <v>0</v>
      </c>
      <c r="J24" s="766"/>
    </row>
    <row r="25" spans="1:10" x14ac:dyDescent="0.2">
      <c r="C25" s="103" t="s">
        <v>527</v>
      </c>
      <c r="G25" s="766">
        <f>'Terms of Call'!Q65</f>
        <v>0</v>
      </c>
      <c r="H25" s="766"/>
    </row>
    <row r="26" spans="1:10" x14ac:dyDescent="0.2">
      <c r="C26" s="103" t="s">
        <v>263</v>
      </c>
      <c r="G26" s="766">
        <f>'Terms of Call'!Q66</f>
        <v>0</v>
      </c>
      <c r="H26" s="766"/>
      <c r="I26" s="766">
        <f>G26</f>
        <v>0</v>
      </c>
      <c r="J26" s="766"/>
    </row>
    <row r="27" spans="1:10" ht="13.5" thickBot="1" x14ac:dyDescent="0.25">
      <c r="C27" s="103" t="s">
        <v>528</v>
      </c>
      <c r="G27" s="783">
        <f>'Terms of Call'!Q67</f>
        <v>0</v>
      </c>
      <c r="H27" s="783"/>
      <c r="I27" s="773">
        <f>G27</f>
        <v>0</v>
      </c>
      <c r="J27" s="773"/>
    </row>
    <row r="28" spans="1:10" ht="16.5" thickBot="1" x14ac:dyDescent="0.3">
      <c r="A28" s="347" t="s">
        <v>27</v>
      </c>
      <c r="C28" s="103"/>
      <c r="D28" s="103"/>
      <c r="F28" s="111" t="s">
        <v>558</v>
      </c>
      <c r="G28" s="768">
        <f>SUM(G16:G27)</f>
        <v>0</v>
      </c>
      <c r="H28" s="769"/>
    </row>
    <row r="29" spans="1:10" x14ac:dyDescent="0.2">
      <c r="B29" s="6"/>
      <c r="C29" s="85"/>
      <c r="D29" s="196"/>
      <c r="F29" s="111" t="e">
        <f>CONCATENATE(IF(EFFECTIVE_SALARY&lt;MIN_SALARY,"BELOW","MEETS")," the ",'Terms of Call'!P41," minimum for Level ",LEVEL,"  ► ")</f>
        <v>#N/A</v>
      </c>
      <c r="G29" s="774" t="e">
        <f>'Terms of Call'!Q70</f>
        <v>#N/A</v>
      </c>
      <c r="H29" s="774"/>
      <c r="I29" s="349"/>
    </row>
    <row r="30" spans="1:10" x14ac:dyDescent="0.2">
      <c r="B30" s="6" t="s">
        <v>523</v>
      </c>
      <c r="C30" s="6"/>
      <c r="F30" s="85"/>
      <c r="G30" s="85"/>
      <c r="H30" s="111" t="s">
        <v>538</v>
      </c>
      <c r="I30" s="766">
        <f>'Terms of Call'!R69</f>
        <v>0</v>
      </c>
      <c r="J30" s="766"/>
    </row>
    <row r="31" spans="1:10" ht="15.75" x14ac:dyDescent="0.25">
      <c r="A31" s="347" t="s">
        <v>530</v>
      </c>
      <c r="E31" s="73" t="str">
        <f>'Terms of Call'!J73</f>
        <v>Complete secttions 1 thru 5 before proceeding.</v>
      </c>
      <c r="F31" s="317"/>
      <c r="G31" s="317"/>
      <c r="H31" s="317"/>
      <c r="I31" s="85"/>
      <c r="J31" s="85" t="s">
        <v>556</v>
      </c>
    </row>
    <row r="32" spans="1:10" ht="15.75" customHeight="1" x14ac:dyDescent="0.25">
      <c r="A32" s="347"/>
      <c r="B32" s="96" t="s">
        <v>763</v>
      </c>
      <c r="D32" s="347" t="e">
        <f>'Terms of Call'!K79</f>
        <v>#N/A</v>
      </c>
      <c r="E32" s="73"/>
      <c r="F32" s="317"/>
      <c r="G32" s="317" t="s">
        <v>315</v>
      </c>
      <c r="H32" s="317"/>
      <c r="I32" s="85"/>
      <c r="J32" s="85" t="s">
        <v>557</v>
      </c>
    </row>
    <row r="33" spans="1:13" x14ac:dyDescent="0.2">
      <c r="B33" s="103" t="s">
        <v>16</v>
      </c>
      <c r="E33" s="103" t="e">
        <f>'Terms of Call'!K83</f>
        <v>#N/A</v>
      </c>
      <c r="G33" s="766">
        <f>'Terms of Call'!Q83</f>
        <v>0</v>
      </c>
      <c r="H33" s="766"/>
      <c r="J33" s="85"/>
    </row>
    <row r="34" spans="1:13" x14ac:dyDescent="0.2">
      <c r="B34" s="103" t="s">
        <v>257</v>
      </c>
      <c r="E34" s="103" t="e">
        <f>'Terms of Call'!K84</f>
        <v>#N/A</v>
      </c>
      <c r="G34" s="766">
        <f>'Terms of Call'!Q84</f>
        <v>0</v>
      </c>
      <c r="H34" s="766"/>
    </row>
    <row r="35" spans="1:13" ht="12" customHeight="1" x14ac:dyDescent="0.2">
      <c r="B35" s="103" t="s">
        <v>738</v>
      </c>
      <c r="E35" s="103" t="e">
        <f>'Terms of Call'!K85</f>
        <v>#N/A</v>
      </c>
      <c r="G35" s="766">
        <f>'Terms of Call'!Q85</f>
        <v>0</v>
      </c>
      <c r="H35" s="766"/>
    </row>
    <row r="36" spans="1:13" x14ac:dyDescent="0.2">
      <c r="B36" s="103" t="s">
        <v>760</v>
      </c>
      <c r="E36" s="103" t="e">
        <f>'Terms of Call'!K86</f>
        <v>#N/A</v>
      </c>
      <c r="G36" s="766">
        <f>'Terms of Call'!Q86</f>
        <v>0</v>
      </c>
      <c r="H36" s="766"/>
    </row>
    <row r="37" spans="1:13" x14ac:dyDescent="0.2">
      <c r="B37" s="103" t="str">
        <f>IF(BOP_PGM="R",'Terms of Call'!H88,IF(BOP_PGM="P",'Terms of Call'!H87,'Terms of Call'!H92))</f>
        <v>Medical Selected Benefits</v>
      </c>
      <c r="C37" s="103"/>
      <c r="E37" s="103" t="str">
        <f>IF(BOP_PGM="P",'Terms of Call'!K87,IF(BOP_PGM="R",'Terms of Call'!K88,IF(OR('Terms of Call'!I92="N",'Terms of Call'!A92=0),'Terms of Call'!K92,'Terms of Call'!I92)))</f>
        <v>Not Available</v>
      </c>
      <c r="G37" s="766">
        <f>'Terms of Call'!Q87+'Terms of Call'!Q88+'Terms of Call'!Q97</f>
        <v>0</v>
      </c>
      <c r="H37" s="766"/>
      <c r="I37" s="103" t="str">
        <f>IF('Terms of Call'!C92="O"," Maximum","")</f>
        <v/>
      </c>
      <c r="K37" s="214" t="str">
        <f>'Terms of Call'!S97</f>
        <v/>
      </c>
    </row>
    <row r="38" spans="1:13" x14ac:dyDescent="0.2">
      <c r="B38" s="103" t="s">
        <v>531</v>
      </c>
      <c r="C38" s="103"/>
      <c r="E38">
        <f>IF('Terms of Call'!I100="N","Not Offered",'Terms of Call'!I100)</f>
        <v>0</v>
      </c>
      <c r="G38" s="766">
        <f>'Terms of Call'!Q105</f>
        <v>0</v>
      </c>
      <c r="H38" s="766"/>
      <c r="I38" s="103" t="str">
        <f>IF(G35&gt;0," Maximum","")</f>
        <v/>
      </c>
      <c r="K38" s="214"/>
    </row>
    <row r="39" spans="1:13" x14ac:dyDescent="0.2">
      <c r="B39" s="103" t="s">
        <v>598</v>
      </c>
      <c r="E39" t="str">
        <f>IF('Terms of Call'!C106="O","Offered","Not Offered")</f>
        <v>Not Offered</v>
      </c>
      <c r="G39" s="766">
        <f>'Terms of Call'!Q111</f>
        <v>0</v>
      </c>
      <c r="H39" s="766"/>
      <c r="I39" s="103" t="str">
        <f>IF('Terms of Call'!C106="O"," Maximum","")</f>
        <v/>
      </c>
      <c r="K39" s="214"/>
    </row>
    <row r="40" spans="1:13" x14ac:dyDescent="0.2">
      <c r="B40" s="103" t="s">
        <v>809</v>
      </c>
      <c r="D40" s="134" t="str">
        <f>'Terms of Call'!L120</f>
        <v xml:space="preserve">Not allowed            </v>
      </c>
      <c r="E40" s="781">
        <f>'Terms of Call'!M120</f>
        <v>0</v>
      </c>
      <c r="F40" s="782"/>
      <c r="G40" s="766">
        <f>'Terms of Call'!Q120</f>
        <v>0</v>
      </c>
      <c r="H40" s="766"/>
      <c r="I40" s="103"/>
    </row>
    <row r="41" spans="1:13" x14ac:dyDescent="0.2">
      <c r="B41" s="103" t="s">
        <v>442</v>
      </c>
      <c r="E41" t="str">
        <f>'Terms of Call'!K124</f>
        <v>Not Allowed</v>
      </c>
      <c r="I41" s="103" t="s">
        <v>553</v>
      </c>
    </row>
    <row r="42" spans="1:13" x14ac:dyDescent="0.2">
      <c r="B42" s="103" t="s">
        <v>443</v>
      </c>
      <c r="E42" t="str">
        <f>'Terms of Call'!K125</f>
        <v>Not Allowed</v>
      </c>
      <c r="I42" s="103" t="s">
        <v>553</v>
      </c>
    </row>
    <row r="43" spans="1:13" x14ac:dyDescent="0.2">
      <c r="B43" s="103" t="s">
        <v>532</v>
      </c>
      <c r="E43" t="str">
        <f>'Terms of Call'!K121</f>
        <v>◄ Health, Dependent, Both, or Not Offered?</v>
      </c>
      <c r="G43" s="766">
        <f>'Terms of Call'!Q121</f>
        <v>0</v>
      </c>
      <c r="H43" s="766"/>
      <c r="I43" s="103"/>
      <c r="M43" s="397"/>
    </row>
    <row r="44" spans="1:13" x14ac:dyDescent="0.2">
      <c r="B44" s="103" t="s">
        <v>543</v>
      </c>
      <c r="G44" s="766">
        <f>SUM(G33:G43)</f>
        <v>0</v>
      </c>
      <c r="H44" s="766"/>
      <c r="I44" s="103" t="s">
        <v>649</v>
      </c>
    </row>
    <row r="45" spans="1:13" ht="15.75" x14ac:dyDescent="0.25">
      <c r="A45" s="347" t="s">
        <v>533</v>
      </c>
      <c r="E45" s="85" t="s">
        <v>537</v>
      </c>
      <c r="F45" s="85"/>
      <c r="G45" s="85"/>
    </row>
    <row r="46" spans="1:13" x14ac:dyDescent="0.2">
      <c r="B46" s="103" t="s">
        <v>534</v>
      </c>
      <c r="G46" s="766">
        <f>'Terms of Call'!I131</f>
        <v>0</v>
      </c>
      <c r="H46" s="766"/>
    </row>
    <row r="47" spans="1:13" x14ac:dyDescent="0.2">
      <c r="B47" s="103" t="s">
        <v>305</v>
      </c>
      <c r="G47" s="766">
        <f>'Terms of Call'!I132</f>
        <v>0</v>
      </c>
      <c r="H47" s="766"/>
    </row>
    <row r="48" spans="1:13" x14ac:dyDescent="0.2">
      <c r="B48" s="103" t="s">
        <v>306</v>
      </c>
      <c r="G48" s="766">
        <f>'Terms of Call'!I133</f>
        <v>0</v>
      </c>
      <c r="H48" s="766"/>
    </row>
    <row r="49" spans="1:11" x14ac:dyDescent="0.2">
      <c r="B49" s="103" t="str">
        <f>IF(ISBLANK('Terms of Call'!I135),"",'Terms of Call'!I135)</f>
        <v/>
      </c>
      <c r="G49" s="766">
        <f>'Terms of Call'!I134</f>
        <v>0</v>
      </c>
      <c r="H49" s="766"/>
    </row>
    <row r="50" spans="1:11" x14ac:dyDescent="0.2">
      <c r="B50" s="103" t="str">
        <f>IF(ISBLANK('Terms of Call'!I136),"",'Terms of Call'!I136)</f>
        <v/>
      </c>
    </row>
    <row r="51" spans="1:11" x14ac:dyDescent="0.2">
      <c r="B51" s="103" t="s">
        <v>535</v>
      </c>
      <c r="G51" s="766">
        <f>'Terms of Call'!Q137</f>
        <v>0</v>
      </c>
      <c r="H51" s="766"/>
    </row>
    <row r="52" spans="1:11" ht="15.75" x14ac:dyDescent="0.25">
      <c r="A52" s="347" t="s">
        <v>309</v>
      </c>
    </row>
    <row r="53" spans="1:11" x14ac:dyDescent="0.2">
      <c r="B53" s="103" t="s">
        <v>310</v>
      </c>
      <c r="E53">
        <f>'Terms of Call'!I139</f>
        <v>0</v>
      </c>
      <c r="F53" s="103" t="s">
        <v>539</v>
      </c>
      <c r="G53" s="103"/>
    </row>
    <row r="54" spans="1:11" ht="13.5" thickBot="1" x14ac:dyDescent="0.25">
      <c r="B54" s="103" t="s">
        <v>536</v>
      </c>
      <c r="E54">
        <f>'Terms of Call'!I140</f>
        <v>0</v>
      </c>
      <c r="F54" s="103" t="s">
        <v>539</v>
      </c>
      <c r="G54" s="103"/>
    </row>
    <row r="55" spans="1:11" ht="16.5" thickBot="1" x14ac:dyDescent="0.3">
      <c r="A55" s="347" t="s">
        <v>602</v>
      </c>
      <c r="G55" s="786">
        <f>G28+G44+G51</f>
        <v>0</v>
      </c>
      <c r="H55" s="787"/>
      <c r="I55" s="103" t="s">
        <v>17</v>
      </c>
    </row>
    <row r="56" spans="1:11" ht="13.5" thickBot="1" x14ac:dyDescent="0.25">
      <c r="B56" s="6" t="s">
        <v>555</v>
      </c>
      <c r="D56" s="111" t="s">
        <v>554</v>
      </c>
      <c r="E56" s="356">
        <f>'Terms of Call'!K143</f>
        <v>1</v>
      </c>
      <c r="F56" s="103" t="s">
        <v>322</v>
      </c>
      <c r="G56" s="768">
        <f>'Terms of Call'!Q143</f>
        <v>0</v>
      </c>
      <c r="H56" s="769"/>
    </row>
    <row r="57" spans="1:11" ht="15.75" x14ac:dyDescent="0.25">
      <c r="A57" s="347" t="s">
        <v>603</v>
      </c>
      <c r="B57" s="6"/>
      <c r="D57" s="111"/>
      <c r="E57" s="396"/>
      <c r="F57" s="396"/>
      <c r="G57" s="191"/>
      <c r="H57" s="191"/>
      <c r="I57" s="103"/>
      <c r="J57" s="103"/>
    </row>
    <row r="58" spans="1:11" x14ac:dyDescent="0.2">
      <c r="A58" s="87" t="s">
        <v>604</v>
      </c>
      <c r="B58" s="6" t="s">
        <v>116</v>
      </c>
      <c r="D58" s="111"/>
      <c r="E58" s="784" t="s">
        <v>267</v>
      </c>
      <c r="F58" s="784"/>
      <c r="G58" s="785" t="s">
        <v>321</v>
      </c>
      <c r="H58" s="785"/>
      <c r="I58" s="719" t="s">
        <v>323</v>
      </c>
      <c r="J58" s="719"/>
    </row>
    <row r="59" spans="1:11" x14ac:dyDescent="0.2">
      <c r="A59" s="395" t="e">
        <f>'Terms of Call'!K150*100</f>
        <v>#DIV/0!</v>
      </c>
      <c r="B59" s="103">
        <f>'Terms of Call'!G166</f>
        <v>0</v>
      </c>
      <c r="D59" s="111"/>
      <c r="E59" s="766" t="e">
        <f>'Terms of Call'!O150</f>
        <v>#DIV/0!</v>
      </c>
      <c r="F59" s="766"/>
      <c r="G59" s="773">
        <f>'Terms of Call'!P150</f>
        <v>0</v>
      </c>
      <c r="H59" s="766"/>
      <c r="I59" s="766" t="e">
        <f>'Terms of Call'!Q150</f>
        <v>#DIV/0!</v>
      </c>
      <c r="J59" s="766"/>
      <c r="K59" s="397">
        <v>1</v>
      </c>
    </row>
    <row r="60" spans="1:11" x14ac:dyDescent="0.2">
      <c r="A60" s="395" t="e">
        <f>'Terms of Call'!K151*100</f>
        <v>#DIV/0!</v>
      </c>
      <c r="B60" s="103">
        <f>'Terms of Call'!G167</f>
        <v>0</v>
      </c>
      <c r="D60" s="111"/>
      <c r="E60" s="766" t="e">
        <f>'Terms of Call'!O151</f>
        <v>#DIV/0!</v>
      </c>
      <c r="F60" s="766"/>
      <c r="G60" s="773">
        <f>'Terms of Call'!P151</f>
        <v>0</v>
      </c>
      <c r="H60" s="766"/>
      <c r="I60" s="766" t="e">
        <f>'Terms of Call'!Q151</f>
        <v>#DIV/0!</v>
      </c>
      <c r="J60" s="766"/>
      <c r="K60" s="397">
        <v>2</v>
      </c>
    </row>
    <row r="61" spans="1:11" x14ac:dyDescent="0.2">
      <c r="A61" s="395" t="e">
        <f>'Terms of Call'!K152*100</f>
        <v>#DIV/0!</v>
      </c>
      <c r="B61" s="103">
        <f>'Terms of Call'!G168</f>
        <v>0</v>
      </c>
      <c r="D61" s="111"/>
      <c r="E61" s="766" t="e">
        <f>'Terms of Call'!O152</f>
        <v>#DIV/0!</v>
      </c>
      <c r="F61" s="766"/>
      <c r="G61" s="773">
        <f>'Terms of Call'!P152</f>
        <v>0</v>
      </c>
      <c r="H61" s="766"/>
      <c r="I61" s="766" t="e">
        <f>'Terms of Call'!Q152</f>
        <v>#DIV/0!</v>
      </c>
      <c r="J61" s="766"/>
      <c r="K61" s="397">
        <v>3</v>
      </c>
    </row>
    <row r="62" spans="1:11" x14ac:dyDescent="0.2">
      <c r="A62" s="395" t="e">
        <f>'Terms of Call'!K153*100</f>
        <v>#DIV/0!</v>
      </c>
      <c r="B62" s="103">
        <f>'Terms of Call'!G169</f>
        <v>0</v>
      </c>
      <c r="D62" s="111"/>
      <c r="E62" s="766" t="e">
        <f>'Terms of Call'!O153</f>
        <v>#DIV/0!</v>
      </c>
      <c r="F62" s="766"/>
      <c r="G62" s="773">
        <f>'Terms of Call'!P153</f>
        <v>0</v>
      </c>
      <c r="H62" s="766"/>
      <c r="I62" s="766" t="e">
        <f>'Terms of Call'!Q153</f>
        <v>#DIV/0!</v>
      </c>
      <c r="J62" s="766"/>
      <c r="K62" s="397">
        <v>4</v>
      </c>
    </row>
    <row r="63" spans="1:11" ht="15.75" x14ac:dyDescent="0.25">
      <c r="A63" s="347" t="s">
        <v>540</v>
      </c>
    </row>
    <row r="64" spans="1:11" ht="16.5" customHeight="1" x14ac:dyDescent="0.25">
      <c r="A64" s="397">
        <v>1</v>
      </c>
      <c r="B64" s="96" t="s">
        <v>520</v>
      </c>
      <c r="C64" s="347" t="str">
        <f>C7</f>
        <v/>
      </c>
      <c r="K64" s="1" t="str">
        <f>K7</f>
        <v/>
      </c>
    </row>
    <row r="65" spans="1:11" ht="14.25" customHeight="1" x14ac:dyDescent="0.2">
      <c r="A65" s="397">
        <v>1</v>
      </c>
      <c r="D65" s="73">
        <f>'Terms of Call'!I166</f>
        <v>0</v>
      </c>
      <c r="E65" s="1"/>
      <c r="F65" s="388" t="str">
        <f>IF(ISBLANK('Terms of Call'!L166),"",'Terms of Call'!L166)</f>
        <v/>
      </c>
      <c r="G65" s="388"/>
    </row>
    <row r="66" spans="1:11" x14ac:dyDescent="0.2">
      <c r="A66" s="397">
        <v>1</v>
      </c>
      <c r="C66" s="103"/>
      <c r="D66" s="85" t="str">
        <f>CONCATENATE("by the ",IF(ISBLANK('Terms of Call'!O166),'Terms of Call'!M166,'Terms of Call'!O166))</f>
        <v xml:space="preserve">by the </v>
      </c>
      <c r="E66" s="103"/>
      <c r="F66" s="7"/>
      <c r="G66" s="103"/>
      <c r="H66" s="206"/>
      <c r="I66" s="206"/>
      <c r="J66" s="206"/>
      <c r="K66" s="206"/>
    </row>
    <row r="67" spans="1:11" x14ac:dyDescent="0.2">
      <c r="A67" s="397">
        <v>1</v>
      </c>
      <c r="F67" s="7"/>
      <c r="G67" s="103"/>
      <c r="H67" s="771" t="s">
        <v>333</v>
      </c>
      <c r="I67" s="771"/>
      <c r="J67" s="771"/>
      <c r="K67" s="771"/>
    </row>
    <row r="68" spans="1:11" ht="16.5" customHeight="1" x14ac:dyDescent="0.25">
      <c r="A68" s="397">
        <v>2</v>
      </c>
      <c r="B68" s="96" t="s">
        <v>520</v>
      </c>
      <c r="C68" s="347" t="str">
        <f>C8</f>
        <v/>
      </c>
      <c r="K68" s="1" t="str">
        <f>K8</f>
        <v/>
      </c>
    </row>
    <row r="69" spans="1:11" ht="14.25" customHeight="1" x14ac:dyDescent="0.2">
      <c r="A69" s="397">
        <v>2</v>
      </c>
      <c r="D69" s="73">
        <f>'Terms of Call'!I167</f>
        <v>0</v>
      </c>
      <c r="E69" s="1"/>
      <c r="F69" s="388" t="str">
        <f>IF(ISBLANK('Terms of Call'!L167),"",'Terms of Call'!L167)</f>
        <v/>
      </c>
      <c r="G69" s="388"/>
    </row>
    <row r="70" spans="1:11" x14ac:dyDescent="0.2">
      <c r="A70" s="397">
        <v>2</v>
      </c>
      <c r="C70" s="103"/>
      <c r="D70" s="85" t="str">
        <f>CONCATENATE("by the ",IF(ISBLANK('Terms of Call'!O167),'Terms of Call'!M167,'Terms of Call'!O167))</f>
        <v xml:space="preserve">by the </v>
      </c>
      <c r="E70" s="103"/>
      <c r="F70" s="7"/>
      <c r="G70" s="103"/>
      <c r="H70" s="206"/>
      <c r="I70" s="206"/>
      <c r="J70" s="206"/>
      <c r="K70" s="206"/>
    </row>
    <row r="71" spans="1:11" x14ac:dyDescent="0.2">
      <c r="A71" s="397">
        <v>2</v>
      </c>
      <c r="F71" s="7"/>
      <c r="G71" s="103"/>
      <c r="H71" s="771" t="s">
        <v>333</v>
      </c>
      <c r="I71" s="771"/>
      <c r="J71" s="771"/>
      <c r="K71" s="771"/>
    </row>
    <row r="72" spans="1:11" ht="16.5" customHeight="1" x14ac:dyDescent="0.25">
      <c r="A72" s="397">
        <v>3</v>
      </c>
      <c r="B72" s="96" t="s">
        <v>520</v>
      </c>
      <c r="C72" s="347" t="str">
        <f>C9</f>
        <v/>
      </c>
      <c r="K72" s="1" t="str">
        <f>K9</f>
        <v/>
      </c>
    </row>
    <row r="73" spans="1:11" ht="14.25" customHeight="1" x14ac:dyDescent="0.2">
      <c r="A73" s="397">
        <v>3</v>
      </c>
      <c r="D73" s="73">
        <f>'Terms of Call'!I168</f>
        <v>0</v>
      </c>
      <c r="E73" s="1"/>
      <c r="F73" s="388" t="str">
        <f>IF(ISBLANK('Terms of Call'!L168),"",'Terms of Call'!L168)</f>
        <v/>
      </c>
      <c r="G73" s="388"/>
    </row>
    <row r="74" spans="1:11" x14ac:dyDescent="0.2">
      <c r="A74" s="397">
        <v>3</v>
      </c>
      <c r="C74" s="103"/>
      <c r="D74" s="85" t="str">
        <f>CONCATENATE("by the ",IF(ISBLANK('Terms of Call'!O168),'Terms of Call'!M168,'Terms of Call'!O168))</f>
        <v xml:space="preserve">by the </v>
      </c>
      <c r="E74" s="103"/>
      <c r="F74" s="7"/>
      <c r="G74" s="103"/>
      <c r="H74" s="206"/>
      <c r="I74" s="206"/>
      <c r="J74" s="206"/>
      <c r="K74" s="206"/>
    </row>
    <row r="75" spans="1:11" x14ac:dyDescent="0.2">
      <c r="A75" s="397">
        <v>3</v>
      </c>
      <c r="F75" s="7"/>
      <c r="G75" s="103"/>
      <c r="H75" s="771" t="s">
        <v>333</v>
      </c>
      <c r="I75" s="771"/>
      <c r="J75" s="771"/>
      <c r="K75" s="771"/>
    </row>
    <row r="76" spans="1:11" ht="16.5" customHeight="1" x14ac:dyDescent="0.25">
      <c r="A76" s="397">
        <v>4</v>
      </c>
      <c r="B76" s="96" t="s">
        <v>520</v>
      </c>
      <c r="C76" s="347" t="str">
        <f>C10</f>
        <v/>
      </c>
      <c r="K76" s="1" t="str">
        <f>K10</f>
        <v/>
      </c>
    </row>
    <row r="77" spans="1:11" ht="14.25" customHeight="1" x14ac:dyDescent="0.2">
      <c r="A77" s="397">
        <v>4</v>
      </c>
      <c r="D77" s="73">
        <f>'Terms of Call'!I169</f>
        <v>0</v>
      </c>
      <c r="E77" s="1"/>
      <c r="F77" s="388" t="str">
        <f>IF(ISBLANK('Terms of Call'!L169),"",'Terms of Call'!L169)</f>
        <v/>
      </c>
      <c r="G77" s="388"/>
    </row>
    <row r="78" spans="1:11" x14ac:dyDescent="0.2">
      <c r="A78" s="397">
        <v>4</v>
      </c>
      <c r="C78" s="103"/>
      <c r="D78" s="85" t="str">
        <f>CONCATENATE("by the ",IF(ISBLANK('Terms of Call'!O169),'Terms of Call'!M169,'Terms of Call'!O169))</f>
        <v xml:space="preserve">by the </v>
      </c>
      <c r="E78" s="103"/>
      <c r="F78" s="7"/>
      <c r="G78" s="103"/>
      <c r="H78" s="206"/>
      <c r="I78" s="206"/>
      <c r="J78" s="206"/>
      <c r="K78" s="206"/>
    </row>
    <row r="79" spans="1:11" x14ac:dyDescent="0.2">
      <c r="A79" s="397">
        <v>4</v>
      </c>
      <c r="F79" s="7"/>
      <c r="G79" s="103"/>
      <c r="H79" s="771" t="s">
        <v>333</v>
      </c>
      <c r="I79" s="771"/>
      <c r="J79" s="771"/>
      <c r="K79" s="771"/>
    </row>
    <row r="80" spans="1:11" x14ac:dyDescent="0.2">
      <c r="F80" s="7"/>
      <c r="G80" s="103"/>
      <c r="H80" s="87"/>
      <c r="I80" s="87"/>
      <c r="J80" s="87"/>
      <c r="K80" s="1" t="str">
        <f>'Terms of Call'!R170</f>
        <v>Not yet fully church-approved.</v>
      </c>
    </row>
    <row r="81" spans="2:11" ht="15.75" x14ac:dyDescent="0.25">
      <c r="B81" s="96" t="s">
        <v>520</v>
      </c>
      <c r="C81" s="347">
        <f>C4</f>
        <v>0</v>
      </c>
    </row>
    <row r="82" spans="2:11" x14ac:dyDescent="0.2">
      <c r="D82" s="73">
        <f>'Terms of Call'!I176</f>
        <v>0</v>
      </c>
      <c r="E82" s="1"/>
      <c r="F82" s="770" t="str">
        <f>IF(ISBLANK('Terms of Call'!L176),"",'Terms of Call'!L176)</f>
        <v/>
      </c>
      <c r="G82" s="770"/>
    </row>
    <row r="83" spans="2:11" x14ac:dyDescent="0.2">
      <c r="C83" s="103"/>
      <c r="D83" s="380"/>
      <c r="F83" s="7" t="str">
        <f>IF(F82="","(date)","")</f>
        <v>(date)</v>
      </c>
      <c r="H83" s="206"/>
      <c r="I83" s="206"/>
      <c r="J83" s="206"/>
      <c r="K83" s="206"/>
    </row>
    <row r="84" spans="2:11" ht="12" customHeight="1" x14ac:dyDescent="0.2">
      <c r="D84" s="7"/>
      <c r="H84" s="767" t="s">
        <v>334</v>
      </c>
      <c r="I84" s="767"/>
      <c r="J84" s="767"/>
      <c r="K84" s="767"/>
    </row>
    <row r="85" spans="2:11" ht="12" customHeight="1" x14ac:dyDescent="0.2">
      <c r="D85" s="7"/>
      <c r="H85" s="383"/>
      <c r="I85" s="383"/>
      <c r="J85" s="383"/>
      <c r="K85" s="384" t="str">
        <f>'Terms of Call'!R176</f>
        <v>Not yet employee-approved</v>
      </c>
    </row>
    <row r="86" spans="2:11" ht="15.75" x14ac:dyDescent="0.25">
      <c r="B86" s="96" t="s">
        <v>520</v>
      </c>
      <c r="C86" s="347" t="str">
        <f>A1</f>
        <v>Presbytery of North Central Iowa</v>
      </c>
    </row>
    <row r="87" spans="2:11" x14ac:dyDescent="0.2">
      <c r="D87" s="73" t="s">
        <v>332</v>
      </c>
      <c r="E87" s="6"/>
      <c r="F87" s="380"/>
      <c r="G87" s="6"/>
    </row>
    <row r="88" spans="2:11" x14ac:dyDescent="0.2">
      <c r="C88" s="103"/>
      <c r="D88" s="103" t="s">
        <v>541</v>
      </c>
      <c r="F88" s="7" t="str">
        <f>IF(ISBLANK(F87),"(date)","")</f>
        <v>(date)</v>
      </c>
      <c r="H88" s="206"/>
      <c r="I88" s="206"/>
      <c r="J88" s="206"/>
      <c r="K88" s="206"/>
    </row>
    <row r="89" spans="2:11" x14ac:dyDescent="0.2">
      <c r="D89" s="103" t="s">
        <v>582</v>
      </c>
      <c r="H89" s="767" t="s">
        <v>334</v>
      </c>
      <c r="I89" s="767"/>
      <c r="J89" s="767"/>
      <c r="K89" s="767"/>
    </row>
  </sheetData>
  <sheetProtection sheet="1" selectLockedCells="1" selectUnlockedCells="1"/>
  <mergeCells count="72">
    <mergeCell ref="G55:H55"/>
    <mergeCell ref="G43:H43"/>
    <mergeCell ref="G44:H44"/>
    <mergeCell ref="G46:H46"/>
    <mergeCell ref="G47:H47"/>
    <mergeCell ref="G48:H48"/>
    <mergeCell ref="G49:H49"/>
    <mergeCell ref="G51:H51"/>
    <mergeCell ref="G40:H40"/>
    <mergeCell ref="E40:F40"/>
    <mergeCell ref="G34:H34"/>
    <mergeCell ref="G15:H15"/>
    <mergeCell ref="I30:J30"/>
    <mergeCell ref="G22:H22"/>
    <mergeCell ref="G23:H23"/>
    <mergeCell ref="G24:H24"/>
    <mergeCell ref="G25:H25"/>
    <mergeCell ref="G26:H26"/>
    <mergeCell ref="G18:H18"/>
    <mergeCell ref="G19:H19"/>
    <mergeCell ref="G20:H20"/>
    <mergeCell ref="G17:H17"/>
    <mergeCell ref="G36:H36"/>
    <mergeCell ref="G35:H35"/>
    <mergeCell ref="F82:G82"/>
    <mergeCell ref="E58:F58"/>
    <mergeCell ref="G58:H58"/>
    <mergeCell ref="I58:J58"/>
    <mergeCell ref="E59:F59"/>
    <mergeCell ref="G59:H59"/>
    <mergeCell ref="I59:J59"/>
    <mergeCell ref="E60:F60"/>
    <mergeCell ref="G60:H60"/>
    <mergeCell ref="I60:J60"/>
    <mergeCell ref="E61:F61"/>
    <mergeCell ref="G61:H61"/>
    <mergeCell ref="I61:J61"/>
    <mergeCell ref="H79:K79"/>
    <mergeCell ref="H75:K75"/>
    <mergeCell ref="H71:K71"/>
    <mergeCell ref="H67:K67"/>
    <mergeCell ref="H84:K84"/>
    <mergeCell ref="H89:K89"/>
    <mergeCell ref="F2:I2"/>
    <mergeCell ref="G21:H21"/>
    <mergeCell ref="G33:H33"/>
    <mergeCell ref="I27:J27"/>
    <mergeCell ref="I21:J21"/>
    <mergeCell ref="I23:J23"/>
    <mergeCell ref="I24:J24"/>
    <mergeCell ref="I26:J26"/>
    <mergeCell ref="I15:J15"/>
    <mergeCell ref="I16:J16"/>
    <mergeCell ref="I17:J17"/>
    <mergeCell ref="I18:J18"/>
    <mergeCell ref="H13:I13"/>
    <mergeCell ref="F14:G14"/>
    <mergeCell ref="H14:I14"/>
    <mergeCell ref="C14:D14"/>
    <mergeCell ref="E62:F62"/>
    <mergeCell ref="G62:H62"/>
    <mergeCell ref="I62:J62"/>
    <mergeCell ref="I19:J19"/>
    <mergeCell ref="I20:J20"/>
    <mergeCell ref="G16:H16"/>
    <mergeCell ref="G29:H29"/>
    <mergeCell ref="G28:H28"/>
    <mergeCell ref="G27:H27"/>
    <mergeCell ref="G56:H56"/>
    <mergeCell ref="G37:H37"/>
    <mergeCell ref="G38:H38"/>
    <mergeCell ref="G39:H39"/>
  </mergeCells>
  <conditionalFormatting sqref="A2:E3 F3">
    <cfRule type="expression" dxfId="16" priority="2" stopIfTrue="1">
      <formula>$A2&gt;0</formula>
    </cfRule>
  </conditionalFormatting>
  <conditionalFormatting sqref="C7:K10">
    <cfRule type="expression" dxfId="15" priority="3" stopIfTrue="1">
      <formula>$A7&gt;$C$6</formula>
    </cfRule>
  </conditionalFormatting>
  <conditionalFormatting sqref="A59:J62">
    <cfRule type="expression" dxfId="14" priority="6" stopIfTrue="1">
      <formula>$K59&gt;$C$6</formula>
    </cfRule>
  </conditionalFormatting>
  <conditionalFormatting sqref="B64:K66 B79:H79 B76:K78 B75:H75 B72:K74 B71:H71 B68:K70 B67:H67">
    <cfRule type="expression" dxfId="13" priority="7" stopIfTrue="1">
      <formula>$A64&gt;$C$6</formula>
    </cfRule>
  </conditionalFormatting>
  <conditionalFormatting sqref="B56:H56">
    <cfRule type="expression" dxfId="12" priority="4" stopIfTrue="1">
      <formula>PCT_YEAR=100%</formula>
    </cfRule>
  </conditionalFormatting>
  <conditionalFormatting sqref="G58:H62">
    <cfRule type="expression" dxfId="11" priority="5" stopIfTrue="1">
      <formula>MANSE&lt;&gt;"M"</formula>
    </cfRule>
  </conditionalFormatting>
  <conditionalFormatting sqref="F2:I2">
    <cfRule type="expression" dxfId="10" priority="1" stopIfTrue="1">
      <formula>NCHURCHES&lt;2</formula>
    </cfRule>
  </conditionalFormatting>
  <conditionalFormatting sqref="B86:K89">
    <cfRule type="expression" dxfId="9" priority="9" stopIfTrue="1">
      <formula>APRV_REQ=1</formula>
    </cfRule>
  </conditionalFormatting>
  <printOptions horizontalCentered="1"/>
  <pageMargins left="0.7" right="0.7" top="0.5" bottom="0.5" header="0.3" footer="0.3"/>
  <pageSetup scale="94" fitToHeight="2" orientation="portrait" r:id="rId1"/>
  <headerFooter>
    <oddFooter>&amp;L&amp;F  &amp;A&amp;R&amp;P / &amp;N</oddFooter>
  </headerFooter>
  <rowBreaks count="1" manualBreakCount="1">
    <brk id="56" max="16383" man="1"/>
  </rowBreaks>
  <extLst>
    <ext xmlns:x14="http://schemas.microsoft.com/office/spreadsheetml/2009/9/main" uri="{CCE6A557-97BC-4b89-ADB6-D9C93CAAB3DF}">
      <x14:dataValidations xmlns:xm="http://schemas.microsoft.com/office/excel/2006/main" count="5">
        <x14:dataValidation type="date" allowBlank="1" showInputMessage="1" showErrorMessage="1" xr:uid="{3A38B215-B455-468A-AE85-0FF9D77C735D}">
          <x14:formula1>
            <xm:f>'Compensation Guidelines'!Q22</xm:f>
          </x14:formula1>
          <x14:formula2>
            <xm:f>'Compensation Guidelines'!#REF!</xm:f>
          </x14:formula2>
          <xm:sqref>F87</xm:sqref>
        </x14:dataValidation>
        <x14:dataValidation type="date" allowBlank="1" showInputMessage="1" showErrorMessage="1" xr:uid="{ED2A1F4C-4544-4EA2-B166-F89CB0A485C0}">
          <x14:formula1>
            <xm:f>'Compensation Guidelines'!O17</xm:f>
          </x14:formula1>
          <x14:formula2>
            <xm:f>'Compensation Guidelines'!O19</xm:f>
          </x14:formula2>
          <xm:sqref>F82 D83</xm:sqref>
        </x14:dataValidation>
        <x14:dataValidation type="date" allowBlank="1" showInputMessage="1" showErrorMessage="1" xr:uid="{992880D3-8537-48F3-8968-1E5894D82EA0}">
          <x14:formula1>
            <xm:f>'Compensation Guidelines'!Q9</xm:f>
          </x14:formula1>
          <x14:formula2>
            <xm:f>'Compensation Guidelines'!Q11</xm:f>
          </x14:formula2>
          <xm:sqref>F77 F73</xm:sqref>
        </x14:dataValidation>
        <x14:dataValidation type="date" allowBlank="1" showInputMessage="1" showErrorMessage="1" xr:uid="{0292A101-5EBF-4987-B90C-7A7973E5AE00}">
          <x14:formula1>
            <xm:f>'Compensation Guidelines'!Q9</xm:f>
          </x14:formula1>
          <x14:formula2>
            <xm:f>'Compensation Guidelines'!Q11</xm:f>
          </x14:formula2>
          <xm:sqref>F69</xm:sqref>
        </x14:dataValidation>
        <x14:dataValidation type="date" allowBlank="1" showInputMessage="1" showErrorMessage="1" xr:uid="{258B2A84-DB3D-44D3-9DF7-B647B0410B01}">
          <x14:formula1>
            <xm:f>'Compensation Guidelines'!Q9</xm:f>
          </x14:formula1>
          <x14:formula2>
            <xm:f>'Compensation Guidelines'!Q11</xm:f>
          </x14:formula2>
          <xm:sqref>F65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autoPageBreaks="0" fitToPage="1"/>
  </sheetPr>
  <dimension ref="A1:M27"/>
  <sheetViews>
    <sheetView showGridLines="0" showRowColHeaders="0" workbookViewId="0">
      <selection activeCell="B2" sqref="B2:G2"/>
    </sheetView>
  </sheetViews>
  <sheetFormatPr defaultRowHeight="12.75" x14ac:dyDescent="0.2"/>
  <cols>
    <col min="1" max="1" width="2.85546875" style="26" customWidth="1"/>
    <col min="2" max="2" width="15.28515625" style="6" bestFit="1" customWidth="1"/>
    <col min="3" max="3" width="5.42578125" style="38" customWidth="1"/>
    <col min="4" max="6" width="11.42578125" style="26" customWidth="1"/>
    <col min="7" max="7" width="11.140625" style="26" customWidth="1"/>
    <col min="8" max="8" width="12.7109375" style="26" hidden="1" customWidth="1"/>
    <col min="9" max="9" width="2.7109375" style="26" customWidth="1"/>
    <col min="10" max="10" width="17.7109375" style="26" customWidth="1"/>
    <col min="11" max="11" width="12.7109375" style="26" hidden="1" customWidth="1"/>
    <col min="12" max="12" width="18.140625" style="26" customWidth="1"/>
    <col min="13" max="13" width="2.85546875" style="26" customWidth="1"/>
    <col min="14" max="16384" width="9.140625" style="26"/>
  </cols>
  <sheetData>
    <row r="1" spans="1:13" ht="15" customHeight="1" thickBot="1" x14ac:dyDescent="0.25">
      <c r="A1" s="20"/>
      <c r="B1" s="25"/>
      <c r="C1" s="19"/>
      <c r="D1" s="20"/>
      <c r="E1" s="20"/>
      <c r="F1" s="20"/>
      <c r="G1" s="20"/>
      <c r="H1" s="52" t="s">
        <v>45</v>
      </c>
      <c r="I1" s="20"/>
      <c r="J1" s="20"/>
      <c r="K1" s="52" t="s">
        <v>45</v>
      </c>
      <c r="L1" s="20"/>
      <c r="M1" s="20"/>
    </row>
    <row r="2" spans="1:13" ht="18" customHeight="1" thickBot="1" x14ac:dyDescent="0.3">
      <c r="A2" s="27"/>
      <c r="B2" s="791" t="str">
        <f>CONCATENATE("Compensation Distribution for ",YEAR)</f>
        <v>Compensation Distribution for 2023</v>
      </c>
      <c r="C2" s="792"/>
      <c r="D2" s="792"/>
      <c r="E2" s="792"/>
      <c r="F2" s="792"/>
      <c r="G2" s="793"/>
      <c r="H2" s="53"/>
      <c r="I2" s="27"/>
      <c r="J2" s="788" t="s">
        <v>38</v>
      </c>
      <c r="K2" s="789"/>
      <c r="L2" s="790"/>
      <c r="M2" s="27"/>
    </row>
    <row r="3" spans="1:13" s="29" customFormat="1" ht="14.25" customHeight="1" x14ac:dyDescent="0.2">
      <c r="A3" s="28"/>
      <c r="B3" s="805" t="s">
        <v>23</v>
      </c>
      <c r="C3" s="803" t="s">
        <v>24</v>
      </c>
      <c r="D3" s="801" t="s">
        <v>25</v>
      </c>
      <c r="E3" s="801"/>
      <c r="F3" s="801"/>
      <c r="G3" s="802"/>
      <c r="H3" s="54"/>
      <c r="I3" s="28"/>
      <c r="J3" s="50" t="s">
        <v>37</v>
      </c>
      <c r="K3" s="61" t="e">
        <f>IF(K4=5,IF(ISBLANK(L12),,L4-L12),L4)</f>
        <v>#N/A</v>
      </c>
      <c r="L3" s="51" t="s">
        <v>26</v>
      </c>
      <c r="M3" s="28"/>
    </row>
    <row r="4" spans="1:13" s="29" customFormat="1" ht="39" thickBot="1" x14ac:dyDescent="0.25">
      <c r="A4" s="28"/>
      <c r="B4" s="806"/>
      <c r="C4" s="804"/>
      <c r="D4" s="282" t="s">
        <v>1</v>
      </c>
      <c r="E4" s="282" t="s">
        <v>496</v>
      </c>
      <c r="F4" s="282" t="s">
        <v>27</v>
      </c>
      <c r="G4" s="283" t="s">
        <v>28</v>
      </c>
      <c r="H4" s="55" t="s">
        <v>36</v>
      </c>
      <c r="I4" s="40"/>
      <c r="J4" s="69"/>
      <c r="K4" s="70" t="e">
        <f>MATCH(J4,D4:H4,0)</f>
        <v>#N/A</v>
      </c>
      <c r="L4" s="71"/>
      <c r="M4" s="30"/>
    </row>
    <row r="5" spans="1:13" x14ac:dyDescent="0.2">
      <c r="A5" s="20"/>
      <c r="B5" s="62" t="s">
        <v>1</v>
      </c>
      <c r="C5" s="457" t="s">
        <v>708</v>
      </c>
      <c r="D5" s="63">
        <v>1</v>
      </c>
      <c r="E5" s="64">
        <f t="shared" ref="E5:E11" si="0">$D5/$D$7</f>
        <v>0.76923076923076916</v>
      </c>
      <c r="F5" s="64">
        <f t="shared" ref="F5:F11" si="1">$D5/$D$9</f>
        <v>0.71075517714292191</v>
      </c>
      <c r="G5" s="65">
        <f t="shared" ref="G5:G11" si="2">$D5/$D$11</f>
        <v>0.52247853502087038</v>
      </c>
      <c r="H5" s="56">
        <f>G5</f>
        <v>0.52247853502087038</v>
      </c>
      <c r="I5" s="39"/>
      <c r="J5" s="31" t="s">
        <v>1</v>
      </c>
      <c r="K5" s="58" t="e">
        <f t="shared" ref="K5:K11" si="3">INDEX(D5:H5,K$4)</f>
        <v>#N/A</v>
      </c>
      <c r="L5" s="41" t="e">
        <f t="shared" ref="L5:L11" si="4">K$3*K5</f>
        <v>#N/A</v>
      </c>
      <c r="M5" s="20"/>
    </row>
    <row r="6" spans="1:13" x14ac:dyDescent="0.2">
      <c r="A6" s="20"/>
      <c r="B6" s="32" t="s">
        <v>29</v>
      </c>
      <c r="C6" s="188" t="s">
        <v>709</v>
      </c>
      <c r="D6" s="46">
        <v>0.3</v>
      </c>
      <c r="E6" s="46">
        <f t="shared" si="0"/>
        <v>0.23076923076923075</v>
      </c>
      <c r="F6" s="46">
        <f t="shared" si="1"/>
        <v>0.21322655314287656</v>
      </c>
      <c r="G6" s="47">
        <f t="shared" si="2"/>
        <v>0.15674356050626112</v>
      </c>
      <c r="H6" s="56">
        <f t="shared" ref="H6:H11" si="5">G6</f>
        <v>0.15674356050626112</v>
      </c>
      <c r="I6" s="39"/>
      <c r="J6" s="44" t="s">
        <v>40</v>
      </c>
      <c r="K6" s="59" t="e">
        <f t="shared" si="3"/>
        <v>#N/A</v>
      </c>
      <c r="L6" s="34" t="e">
        <f t="shared" si="4"/>
        <v>#N/A</v>
      </c>
      <c r="M6" s="20"/>
    </row>
    <row r="7" spans="1:13" x14ac:dyDescent="0.2">
      <c r="A7" s="20"/>
      <c r="B7" s="32" t="s">
        <v>497</v>
      </c>
      <c r="C7" s="188" t="s">
        <v>712</v>
      </c>
      <c r="D7" s="46">
        <f>D5+D6</f>
        <v>1.3</v>
      </c>
      <c r="E7" s="48">
        <f t="shared" si="0"/>
        <v>1</v>
      </c>
      <c r="F7" s="46">
        <f t="shared" si="1"/>
        <v>0.92398173028579844</v>
      </c>
      <c r="G7" s="47">
        <f t="shared" si="2"/>
        <v>0.67922209552713153</v>
      </c>
      <c r="H7" s="56">
        <f t="shared" si="5"/>
        <v>0.67922209552713153</v>
      </c>
      <c r="I7" s="39"/>
      <c r="J7" s="31" t="s">
        <v>497</v>
      </c>
      <c r="K7" s="59" t="e">
        <f t="shared" si="3"/>
        <v>#N/A</v>
      </c>
      <c r="L7" s="42" t="e">
        <f t="shared" si="4"/>
        <v>#N/A</v>
      </c>
      <c r="M7" s="20"/>
    </row>
    <row r="8" spans="1:13" x14ac:dyDescent="0.2">
      <c r="A8" s="20"/>
      <c r="B8" s="32" t="s">
        <v>30</v>
      </c>
      <c r="C8" s="188" t="s">
        <v>710</v>
      </c>
      <c r="D8" s="46">
        <f>D7*SECA_RATE_LOW*0.5/(1-SECA_RATE_LOW)</f>
        <v>0.1069542258134201</v>
      </c>
      <c r="E8" s="46">
        <f t="shared" si="0"/>
        <v>8.2272481394938535E-2</v>
      </c>
      <c r="F8" s="46">
        <f t="shared" si="1"/>
        <v>7.6018269714201461E-2</v>
      </c>
      <c r="G8" s="47">
        <f t="shared" si="2"/>
        <v>5.5881287217287093E-2</v>
      </c>
      <c r="H8" s="56">
        <f t="shared" si="5"/>
        <v>5.5881287217287093E-2</v>
      </c>
      <c r="I8" s="39"/>
      <c r="J8" s="44" t="s">
        <v>41</v>
      </c>
      <c r="K8" s="59" t="e">
        <f t="shared" si="3"/>
        <v>#N/A</v>
      </c>
      <c r="L8" s="34" t="e">
        <f t="shared" si="4"/>
        <v>#N/A</v>
      </c>
      <c r="M8" s="20"/>
    </row>
    <row r="9" spans="1:13" x14ac:dyDescent="0.2">
      <c r="A9" s="20"/>
      <c r="B9" s="32" t="s">
        <v>27</v>
      </c>
      <c r="C9" s="188" t="s">
        <v>712</v>
      </c>
      <c r="D9" s="46">
        <f>D7+D8</f>
        <v>1.4069542258134202</v>
      </c>
      <c r="E9" s="46">
        <f t="shared" si="0"/>
        <v>1.0822724813949387</v>
      </c>
      <c r="F9" s="48">
        <f t="shared" si="1"/>
        <v>1</v>
      </c>
      <c r="G9" s="47">
        <f t="shared" si="2"/>
        <v>0.73510338274441867</v>
      </c>
      <c r="H9" s="56">
        <f t="shared" si="5"/>
        <v>0.73510338274441867</v>
      </c>
      <c r="I9" s="39"/>
      <c r="J9" s="33" t="s">
        <v>27</v>
      </c>
      <c r="K9" s="59" t="e">
        <f t="shared" si="3"/>
        <v>#N/A</v>
      </c>
      <c r="L9" s="42" t="e">
        <f t="shared" si="4"/>
        <v>#N/A</v>
      </c>
      <c r="M9" s="20"/>
    </row>
    <row r="10" spans="1:13" x14ac:dyDescent="0.2">
      <c r="A10" s="20"/>
      <c r="B10" s="32" t="s">
        <v>31</v>
      </c>
      <c r="C10" s="188" t="s">
        <v>711</v>
      </c>
      <c r="D10" s="46">
        <f>PP_TOT_RATE*D7</f>
        <v>0.50700000000000001</v>
      </c>
      <c r="E10" s="46">
        <f>$D10/$D$7</f>
        <v>0.39</v>
      </c>
      <c r="F10" s="46">
        <f t="shared" si="1"/>
        <v>0.36035287481146139</v>
      </c>
      <c r="G10" s="47">
        <f t="shared" si="2"/>
        <v>0.26489661725558128</v>
      </c>
      <c r="H10" s="56">
        <f t="shared" si="5"/>
        <v>0.26489661725558128</v>
      </c>
      <c r="I10" s="39"/>
      <c r="J10" s="45" t="s">
        <v>39</v>
      </c>
      <c r="K10" s="59" t="e">
        <f t="shared" si="3"/>
        <v>#N/A</v>
      </c>
      <c r="L10" s="34" t="e">
        <f t="shared" si="4"/>
        <v>#N/A</v>
      </c>
      <c r="M10" s="20"/>
    </row>
    <row r="11" spans="1:13" x14ac:dyDescent="0.2">
      <c r="A11" s="20"/>
      <c r="B11" s="32" t="s">
        <v>28</v>
      </c>
      <c r="C11" s="188" t="s">
        <v>713</v>
      </c>
      <c r="D11" s="46">
        <f>D9+D10</f>
        <v>1.9139542258134203</v>
      </c>
      <c r="E11" s="46">
        <f t="shared" si="0"/>
        <v>1.4722724813949386</v>
      </c>
      <c r="F11" s="46">
        <f t="shared" si="1"/>
        <v>1.3603528748114615</v>
      </c>
      <c r="G11" s="49">
        <f t="shared" si="2"/>
        <v>1</v>
      </c>
      <c r="H11" s="56">
        <f t="shared" si="5"/>
        <v>1</v>
      </c>
      <c r="I11" s="39"/>
      <c r="J11" s="33" t="s">
        <v>28</v>
      </c>
      <c r="K11" s="59" t="e">
        <f t="shared" si="3"/>
        <v>#N/A</v>
      </c>
      <c r="L11" s="42" t="e">
        <f t="shared" si="4"/>
        <v>#N/A</v>
      </c>
      <c r="M11" s="20"/>
    </row>
    <row r="12" spans="1:13" x14ac:dyDescent="0.2">
      <c r="A12" s="20"/>
      <c r="B12" s="32" t="s">
        <v>35</v>
      </c>
      <c r="C12" s="188" t="s">
        <v>726</v>
      </c>
      <c r="D12" s="799" t="s">
        <v>140</v>
      </c>
      <c r="E12" s="800"/>
      <c r="F12" s="80">
        <f>'Compensation Guidelines'!M22</f>
        <v>1000</v>
      </c>
      <c r="G12" s="75"/>
      <c r="H12" s="57"/>
      <c r="I12" s="20"/>
      <c r="J12" s="44" t="s">
        <v>42</v>
      </c>
      <c r="K12" s="59"/>
      <c r="L12" s="72"/>
      <c r="M12" s="20"/>
    </row>
    <row r="13" spans="1:13" ht="13.5" thickBot="1" x14ac:dyDescent="0.25">
      <c r="A13" s="20"/>
      <c r="B13" s="35" t="s">
        <v>36</v>
      </c>
      <c r="C13" s="458" t="s">
        <v>727</v>
      </c>
      <c r="D13" s="794" t="s">
        <v>408</v>
      </c>
      <c r="E13" s="795"/>
      <c r="F13" s="795"/>
      <c r="G13" s="796"/>
      <c r="H13" s="57"/>
      <c r="I13" s="20"/>
      <c r="J13" s="36" t="s">
        <v>36</v>
      </c>
      <c r="K13" s="60"/>
      <c r="L13" s="43" t="str">
        <f>IF(ISBLANK(L12),"Enter Allowances",L11+L12)</f>
        <v>Enter Allowances</v>
      </c>
      <c r="M13" s="20"/>
    </row>
    <row r="14" spans="1:13" ht="6.75" customHeight="1" x14ac:dyDescent="0.2">
      <c r="A14" s="20"/>
      <c r="B14" s="97"/>
      <c r="C14" s="340"/>
      <c r="D14" s="284"/>
      <c r="E14" s="284"/>
      <c r="F14" s="284"/>
      <c r="G14" s="285"/>
      <c r="H14" s="57"/>
      <c r="I14" s="20"/>
      <c r="J14" s="747" t="s">
        <v>407</v>
      </c>
      <c r="K14" s="748"/>
      <c r="L14" s="749"/>
      <c r="M14" s="20"/>
    </row>
    <row r="15" spans="1:13" ht="45.75" customHeight="1" x14ac:dyDescent="0.2">
      <c r="A15" s="20"/>
      <c r="B15" s="277" t="s">
        <v>44</v>
      </c>
      <c r="C15" s="341"/>
      <c r="D15" s="642" t="s">
        <v>187</v>
      </c>
      <c r="E15" s="797"/>
      <c r="F15" s="797"/>
      <c r="G15" s="798"/>
      <c r="H15" s="57"/>
      <c r="I15" s="20"/>
      <c r="J15" s="750"/>
      <c r="K15" s="751"/>
      <c r="L15" s="752"/>
      <c r="M15" s="37"/>
    </row>
    <row r="16" spans="1:13" ht="22.5" customHeight="1" x14ac:dyDescent="0.2">
      <c r="A16" s="20"/>
      <c r="B16" s="278" t="s">
        <v>29</v>
      </c>
      <c r="C16" s="459" t="s">
        <v>709</v>
      </c>
      <c r="D16" s="797" t="s">
        <v>32</v>
      </c>
      <c r="E16" s="797"/>
      <c r="F16" s="797"/>
      <c r="G16" s="798"/>
      <c r="H16" s="57"/>
      <c r="I16" s="20"/>
      <c r="J16" s="750"/>
      <c r="K16" s="751"/>
      <c r="L16" s="752"/>
      <c r="M16" s="20"/>
    </row>
    <row r="17" spans="1:13" ht="21.75" customHeight="1" x14ac:dyDescent="0.2">
      <c r="A17" s="20"/>
      <c r="B17" s="278" t="s">
        <v>33</v>
      </c>
      <c r="C17" s="459" t="s">
        <v>710</v>
      </c>
      <c r="D17" s="797" t="s">
        <v>34</v>
      </c>
      <c r="E17" s="797"/>
      <c r="F17" s="797"/>
      <c r="G17" s="798"/>
      <c r="H17" s="57"/>
      <c r="I17" s="20"/>
      <c r="J17" s="750"/>
      <c r="K17" s="751"/>
      <c r="L17" s="752"/>
      <c r="M17" s="20"/>
    </row>
    <row r="18" spans="1:13" ht="34.5" customHeight="1" x14ac:dyDescent="0.2">
      <c r="A18" s="20"/>
      <c r="B18" s="278" t="s">
        <v>27</v>
      </c>
      <c r="C18" s="459" t="s">
        <v>712</v>
      </c>
      <c r="D18" s="642" t="s">
        <v>194</v>
      </c>
      <c r="E18" s="797"/>
      <c r="F18" s="797"/>
      <c r="G18" s="798"/>
      <c r="H18" s="57"/>
      <c r="I18" s="20"/>
      <c r="J18" s="750"/>
      <c r="K18" s="751"/>
      <c r="L18" s="752"/>
      <c r="M18" s="20"/>
    </row>
    <row r="19" spans="1:13" ht="15" customHeight="1" x14ac:dyDescent="0.2">
      <c r="A19" s="20"/>
      <c r="B19" s="279" t="s">
        <v>31</v>
      </c>
      <c r="C19" s="459" t="s">
        <v>711</v>
      </c>
      <c r="D19" s="642" t="s">
        <v>406</v>
      </c>
      <c r="E19" s="642"/>
      <c r="F19" s="642"/>
      <c r="G19" s="807"/>
      <c r="H19" s="57"/>
      <c r="I19" s="20"/>
      <c r="J19" s="750"/>
      <c r="K19" s="751"/>
      <c r="L19" s="752"/>
      <c r="M19" s="20"/>
    </row>
    <row r="20" spans="1:13" ht="33.75" customHeight="1" x14ac:dyDescent="0.2">
      <c r="A20" s="20"/>
      <c r="B20" s="278" t="s">
        <v>28</v>
      </c>
      <c r="C20" s="442" t="s">
        <v>714</v>
      </c>
      <c r="D20" s="642" t="s">
        <v>188</v>
      </c>
      <c r="E20" s="797"/>
      <c r="F20" s="797"/>
      <c r="G20" s="798"/>
      <c r="H20" s="57"/>
      <c r="I20" s="20"/>
      <c r="J20" s="750"/>
      <c r="K20" s="751"/>
      <c r="L20" s="752"/>
      <c r="M20" s="20"/>
    </row>
    <row r="21" spans="1:13" ht="22.5" customHeight="1" x14ac:dyDescent="0.2">
      <c r="A21" s="20"/>
      <c r="B21" s="278" t="s">
        <v>35</v>
      </c>
      <c r="C21" s="460" t="s">
        <v>726</v>
      </c>
      <c r="D21" s="751" t="s">
        <v>189</v>
      </c>
      <c r="E21" s="751"/>
      <c r="F21" s="751"/>
      <c r="G21" s="280">
        <f>'Compensation Guidelines'!M22</f>
        <v>1000</v>
      </c>
      <c r="H21" s="57"/>
      <c r="I21" s="20"/>
      <c r="J21" s="750"/>
      <c r="K21" s="751"/>
      <c r="L21" s="752"/>
      <c r="M21" s="20"/>
    </row>
    <row r="22" spans="1:13" ht="22.5" customHeight="1" thickBot="1" x14ac:dyDescent="0.25">
      <c r="A22" s="20"/>
      <c r="B22" s="281" t="s">
        <v>36</v>
      </c>
      <c r="C22" s="461" t="s">
        <v>727</v>
      </c>
      <c r="D22" s="809" t="s">
        <v>43</v>
      </c>
      <c r="E22" s="809"/>
      <c r="F22" s="809"/>
      <c r="G22" s="810"/>
      <c r="H22" s="57"/>
      <c r="I22" s="20"/>
      <c r="J22" s="636" t="str">
        <f>DRAFT</f>
        <v xml:space="preserve"> </v>
      </c>
      <c r="K22" s="633"/>
      <c r="L22" s="637" t="str">
        <f>CONCATENATE("Version ",VERSION)</f>
        <v>Version 11-30</v>
      </c>
      <c r="M22" s="20"/>
    </row>
    <row r="23" spans="1:13" x14ac:dyDescent="0.2">
      <c r="A23" s="20"/>
      <c r="B23" s="25"/>
      <c r="C23" s="19"/>
      <c r="D23" s="20"/>
      <c r="E23" s="20"/>
      <c r="F23" s="20"/>
      <c r="G23" s="20"/>
      <c r="H23" s="57"/>
      <c r="I23" s="20"/>
      <c r="J23" s="20"/>
      <c r="K23" s="57"/>
      <c r="L23" s="20"/>
      <c r="M23" s="20"/>
    </row>
    <row r="24" spans="1:13" hidden="1" x14ac:dyDescent="0.2">
      <c r="A24" s="808" t="s">
        <v>108</v>
      </c>
      <c r="B24" s="91"/>
      <c r="C24" s="90"/>
      <c r="D24" s="88"/>
      <c r="E24" s="92" t="s">
        <v>191</v>
      </c>
      <c r="F24" s="89"/>
      <c r="G24" s="89"/>
      <c r="H24" s="89"/>
      <c r="I24" s="89"/>
      <c r="J24" s="88"/>
      <c r="K24" s="89"/>
      <c r="L24" s="89"/>
      <c r="M24" s="89"/>
    </row>
    <row r="25" spans="1:13" hidden="1" x14ac:dyDescent="0.2">
      <c r="A25" s="808"/>
      <c r="B25" s="91"/>
      <c r="C25" s="90"/>
      <c r="D25" s="88"/>
      <c r="E25" s="92" t="s">
        <v>192</v>
      </c>
      <c r="F25" s="89"/>
      <c r="G25" s="89"/>
      <c r="H25" s="89"/>
      <c r="I25" s="89"/>
      <c r="J25" s="89"/>
      <c r="K25" s="89"/>
      <c r="L25" s="89"/>
      <c r="M25" s="89"/>
    </row>
    <row r="26" spans="1:13" hidden="1" x14ac:dyDescent="0.2">
      <c r="A26" s="808"/>
      <c r="B26" s="91"/>
      <c r="C26" s="90"/>
      <c r="D26" s="88"/>
      <c r="E26" s="92" t="s">
        <v>193</v>
      </c>
      <c r="F26" s="89"/>
      <c r="G26" s="89"/>
      <c r="H26" s="89"/>
      <c r="I26" s="89"/>
      <c r="J26" s="89"/>
      <c r="K26" s="89"/>
      <c r="L26" s="89"/>
      <c r="M26" s="89"/>
    </row>
    <row r="27" spans="1:13" hidden="1" x14ac:dyDescent="0.2">
      <c r="A27" s="808"/>
      <c r="B27" s="91"/>
      <c r="C27" s="90"/>
      <c r="D27" s="88"/>
      <c r="E27" s="92" t="s">
        <v>190</v>
      </c>
      <c r="F27" s="89"/>
      <c r="G27" s="89"/>
      <c r="H27" s="89"/>
      <c r="I27" s="89"/>
      <c r="J27" s="89"/>
      <c r="K27" s="89"/>
      <c r="L27" s="89"/>
      <c r="M27" s="89"/>
    </row>
  </sheetData>
  <sheetProtection sheet="1" objects="1" scenarios="1" selectLockedCells="1"/>
  <mergeCells count="17">
    <mergeCell ref="A24:A27"/>
    <mergeCell ref="D22:G22"/>
    <mergeCell ref="D15:G15"/>
    <mergeCell ref="D16:G16"/>
    <mergeCell ref="D17:G17"/>
    <mergeCell ref="J2:L2"/>
    <mergeCell ref="B2:G2"/>
    <mergeCell ref="D21:F21"/>
    <mergeCell ref="D13:G13"/>
    <mergeCell ref="D20:G20"/>
    <mergeCell ref="D18:G18"/>
    <mergeCell ref="D12:E12"/>
    <mergeCell ref="D3:G3"/>
    <mergeCell ref="C3:C4"/>
    <mergeCell ref="B3:B4"/>
    <mergeCell ref="D19:G19"/>
    <mergeCell ref="J14:L21"/>
  </mergeCells>
  <phoneticPr fontId="0" type="noConversion"/>
  <conditionalFormatting sqref="J4">
    <cfRule type="expression" dxfId="8" priority="3" stopIfTrue="1">
      <formula>ISBLANK($J$4)</formula>
    </cfRule>
  </conditionalFormatting>
  <conditionalFormatting sqref="L4">
    <cfRule type="expression" dxfId="7" priority="4" stopIfTrue="1">
      <formula>ISBLANK($L$4)</formula>
    </cfRule>
  </conditionalFormatting>
  <dataValidations count="2">
    <dataValidation type="decimal" operator="greaterThanOrEqual" showErrorMessage="1" errorTitle="Minimum Allowance" error="Must be at least minimum_x000a_" prompt="_x000a_" sqref="L12" xr:uid="{00000000-0002-0000-0700-000000000000}">
      <formula1>F12</formula1>
    </dataValidation>
    <dataValidation type="list" allowBlank="1" showInputMessage="1" showErrorMessage="1" sqref="J4" xr:uid="{00000000-0002-0000-0700-000001000000}">
      <formula1>$D$4:$H$4</formula1>
    </dataValidation>
  </dataValidations>
  <printOptions horizontalCentered="1" verticalCentered="1"/>
  <pageMargins left="0.75" right="0.7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S57"/>
  <sheetViews>
    <sheetView showGridLines="0" showRowColHeaders="0" workbookViewId="0"/>
  </sheetViews>
  <sheetFormatPr defaultRowHeight="12.75" x14ac:dyDescent="0.2"/>
  <cols>
    <col min="1" max="1" width="2.5703125" customWidth="1"/>
    <col min="2" max="2" width="5.7109375" customWidth="1"/>
    <col min="3" max="3" width="5" customWidth="1"/>
    <col min="4" max="4" width="2.5703125" customWidth="1"/>
    <col min="5" max="5" width="5.5703125" customWidth="1"/>
    <col min="6" max="8" width="14.28515625" customWidth="1"/>
    <col min="9" max="9" width="2.5703125" customWidth="1"/>
    <col min="10" max="10" width="1.140625" customWidth="1"/>
    <col min="11" max="11" width="4.140625" customWidth="1"/>
    <col min="12" max="12" width="14.85546875" customWidth="1"/>
    <col min="13" max="13" width="11.140625" customWidth="1"/>
    <col min="14" max="14" width="10.42578125" bestFit="1" customWidth="1"/>
    <col min="15" max="15" width="7.7109375" customWidth="1"/>
    <col min="16" max="16" width="2.140625" customWidth="1"/>
    <col min="17" max="17" width="10.5703125" customWidth="1"/>
    <col min="18" max="18" width="2.140625" customWidth="1"/>
  </cols>
  <sheetData>
    <row r="1" spans="1:19" ht="13.5" customHeight="1" thickBot="1" x14ac:dyDescent="0.25">
      <c r="A1" s="20"/>
      <c r="B1" s="20"/>
      <c r="C1" s="20"/>
      <c r="D1" s="20"/>
      <c r="E1" s="20"/>
      <c r="F1" s="20"/>
      <c r="G1" s="20"/>
      <c r="H1" s="20"/>
      <c r="I1" s="20"/>
      <c r="J1" s="20"/>
      <c r="K1" s="20"/>
      <c r="L1" s="20"/>
      <c r="M1" s="20"/>
      <c r="N1" s="20"/>
      <c r="O1" s="20"/>
      <c r="P1" s="20"/>
      <c r="Q1" s="2"/>
      <c r="R1" s="81"/>
    </row>
    <row r="2" spans="1:19" ht="23.25" customHeight="1" thickTop="1" thickBot="1" x14ac:dyDescent="0.25">
      <c r="A2" s="20"/>
      <c r="B2" s="841" t="s">
        <v>109</v>
      </c>
      <c r="C2" s="842"/>
      <c r="D2" s="842"/>
      <c r="E2" s="842"/>
      <c r="F2" s="842"/>
      <c r="G2" s="842"/>
      <c r="H2" s="843"/>
      <c r="I2" s="20"/>
      <c r="J2" s="20"/>
      <c r="K2" s="19"/>
      <c r="L2" s="20"/>
      <c r="M2" s="20"/>
      <c r="N2" s="20"/>
      <c r="O2" s="20"/>
      <c r="P2" s="20"/>
      <c r="Q2" s="2"/>
      <c r="R2" s="81"/>
    </row>
    <row r="3" spans="1:19" ht="13.5" customHeight="1" thickTop="1" x14ac:dyDescent="0.2">
      <c r="A3" s="20"/>
      <c r="B3" s="20"/>
      <c r="C3" s="20"/>
      <c r="D3" s="20"/>
      <c r="E3" s="20"/>
      <c r="F3" s="20"/>
      <c r="G3" s="20"/>
      <c r="H3" s="20"/>
      <c r="I3" s="20"/>
      <c r="J3" s="20"/>
      <c r="K3" s="20"/>
      <c r="L3" s="20"/>
      <c r="M3" s="20"/>
      <c r="N3" s="20"/>
      <c r="O3" s="20"/>
      <c r="P3" s="20"/>
      <c r="Q3" s="2"/>
      <c r="R3" s="81"/>
    </row>
    <row r="4" spans="1:19" ht="15" customHeight="1" x14ac:dyDescent="0.25">
      <c r="A4" s="846" t="s">
        <v>22</v>
      </c>
      <c r="B4" s="846"/>
      <c r="C4" s="846"/>
      <c r="D4" s="846"/>
      <c r="E4" s="846"/>
      <c r="F4" s="846"/>
      <c r="G4" s="846"/>
      <c r="H4" s="846"/>
      <c r="I4" s="846"/>
      <c r="J4" s="20"/>
      <c r="K4" s="20"/>
      <c r="L4" s="20"/>
      <c r="M4" s="20"/>
      <c r="N4" s="20"/>
      <c r="O4" s="20"/>
      <c r="P4" s="20"/>
      <c r="Q4" s="2"/>
      <c r="R4" s="81"/>
    </row>
    <row r="5" spans="1:19" ht="12.75" customHeight="1" x14ac:dyDescent="0.2">
      <c r="A5" s="719" t="str">
        <f>L12</f>
        <v>Presbytery of North Central Iowa</v>
      </c>
      <c r="B5" s="719"/>
      <c r="C5" s="719"/>
      <c r="D5" s="719"/>
      <c r="E5" s="719"/>
      <c r="F5" s="719"/>
      <c r="G5" s="719"/>
      <c r="H5" s="719"/>
      <c r="I5" s="719"/>
      <c r="J5" s="20"/>
      <c r="K5" s="20"/>
      <c r="L5" s="20"/>
      <c r="M5" s="20"/>
      <c r="N5" s="20"/>
      <c r="O5" s="20"/>
      <c r="P5" s="20"/>
      <c r="Q5" s="2"/>
      <c r="R5" s="81"/>
    </row>
    <row r="6" spans="1:19" ht="12.75" customHeight="1" x14ac:dyDescent="0.2">
      <c r="A6" s="657" t="str">
        <f>CONCATENATE("Effective January 1, ",YEAR,".")</f>
        <v>Effective January 1, 2023.</v>
      </c>
      <c r="B6" s="657"/>
      <c r="C6" s="657"/>
      <c r="D6" s="657"/>
      <c r="E6" s="657"/>
      <c r="F6" s="657"/>
      <c r="G6" s="657"/>
      <c r="H6" s="657"/>
      <c r="I6" s="657"/>
      <c r="J6" s="20"/>
      <c r="K6" s="20"/>
      <c r="L6" s="20"/>
      <c r="M6" s="20"/>
      <c r="N6" s="20"/>
      <c r="O6" s="20"/>
      <c r="P6" s="20"/>
      <c r="Q6" s="2"/>
      <c r="R6" s="81"/>
    </row>
    <row r="7" spans="1:19" ht="12.75" customHeight="1" x14ac:dyDescent="0.2">
      <c r="A7" s="657" t="s">
        <v>6</v>
      </c>
      <c r="B7" s="657"/>
      <c r="C7" s="657"/>
      <c r="D7" s="657"/>
      <c r="E7" s="657"/>
      <c r="F7" s="657"/>
      <c r="G7" s="657"/>
      <c r="H7" s="657"/>
      <c r="I7" s="657"/>
      <c r="J7" s="20"/>
      <c r="K7" s="20"/>
      <c r="L7" s="151"/>
      <c r="M7" s="20"/>
      <c r="N7" s="20"/>
      <c r="O7" s="20"/>
      <c r="P7" s="20"/>
      <c r="Q7" s="2"/>
      <c r="R7" s="81"/>
    </row>
    <row r="8" spans="1:19" ht="13.5" customHeight="1" thickBot="1" x14ac:dyDescent="0.25">
      <c r="H8" s="443" t="str">
        <f>VERSION</f>
        <v>11-30</v>
      </c>
      <c r="I8" s="828"/>
      <c r="J8" s="20"/>
      <c r="K8" s="20"/>
      <c r="L8" s="20"/>
      <c r="M8" s="20"/>
      <c r="N8" s="20"/>
      <c r="O8" s="20"/>
      <c r="P8" s="20"/>
      <c r="Q8" s="2"/>
      <c r="R8" s="81"/>
    </row>
    <row r="9" spans="1:19" ht="13.5" customHeight="1" thickBot="1" x14ac:dyDescent="0.25">
      <c r="B9" s="847" t="s">
        <v>56</v>
      </c>
      <c r="C9" s="849" t="s">
        <v>57</v>
      </c>
      <c r="D9" s="849"/>
      <c r="E9" s="849"/>
      <c r="F9" s="851" t="s">
        <v>9</v>
      </c>
      <c r="G9" s="851"/>
      <c r="H9" s="852"/>
      <c r="I9" s="828"/>
      <c r="J9" s="81"/>
      <c r="K9" s="20"/>
      <c r="L9" s="20"/>
      <c r="M9" s="20"/>
      <c r="N9" s="20"/>
      <c r="O9" s="20"/>
      <c r="P9" s="20"/>
      <c r="Q9" s="2"/>
      <c r="R9" s="81"/>
    </row>
    <row r="10" spans="1:19" s="4" customFormat="1" ht="27.75" customHeight="1" thickTop="1" thickBot="1" x14ac:dyDescent="0.25">
      <c r="B10" s="848"/>
      <c r="C10" s="850"/>
      <c r="D10" s="850"/>
      <c r="E10" s="850"/>
      <c r="F10" s="488" t="s">
        <v>58</v>
      </c>
      <c r="G10" s="488" t="s">
        <v>59</v>
      </c>
      <c r="H10" s="489" t="s">
        <v>60</v>
      </c>
      <c r="J10" s="93"/>
      <c r="K10" s="3"/>
      <c r="L10" s="853" t="s">
        <v>13</v>
      </c>
      <c r="M10" s="854"/>
      <c r="N10" s="854"/>
      <c r="O10" s="855"/>
      <c r="P10" s="3"/>
      <c r="Q10" s="811" t="s">
        <v>485</v>
      </c>
      <c r="R10" s="81"/>
      <c r="S10"/>
    </row>
    <row r="11" spans="1:19" s="4" customFormat="1" ht="13.5" customHeight="1" thickBot="1" x14ac:dyDescent="0.25">
      <c r="A11" s="6"/>
      <c r="B11" s="817" t="s">
        <v>171</v>
      </c>
      <c r="C11" s="818"/>
      <c r="D11" s="818"/>
      <c r="E11" s="818"/>
      <c r="F11" s="818"/>
      <c r="G11" s="818"/>
      <c r="H11" s="819"/>
      <c r="J11" s="93"/>
      <c r="K11" s="3"/>
      <c r="L11" s="23" t="s">
        <v>18</v>
      </c>
      <c r="M11" s="24"/>
      <c r="N11" s="76" t="s">
        <v>130</v>
      </c>
      <c r="O11" s="145" t="s">
        <v>131</v>
      </c>
      <c r="P11" s="20"/>
      <c r="Q11" s="812"/>
      <c r="R11" s="81"/>
      <c r="S11"/>
    </row>
    <row r="12" spans="1:19" ht="13.5" customHeight="1" thickBot="1" x14ac:dyDescent="0.25">
      <c r="B12" s="8">
        <v>1</v>
      </c>
      <c r="C12" s="9">
        <v>0</v>
      </c>
      <c r="D12" s="10" t="s">
        <v>7</v>
      </c>
      <c r="E12" s="11">
        <v>60</v>
      </c>
      <c r="F12" s="12">
        <f>LEV1_MIN</f>
        <v>57020</v>
      </c>
      <c r="G12" s="12">
        <f t="shared" ref="G12:G19" si="0">ROUND(F12*MIDR_FACTOR,0)</f>
        <v>71275</v>
      </c>
      <c r="H12" s="13">
        <f t="shared" ref="H12:H19" si="1">ROUND(F12*MAX_FACTOR,0)</f>
        <v>85530</v>
      </c>
      <c r="J12" s="81"/>
      <c r="K12" s="2"/>
      <c r="L12" s="824" t="s">
        <v>0</v>
      </c>
      <c r="M12" s="825"/>
      <c r="N12" s="825"/>
      <c r="O12" s="826"/>
      <c r="P12" s="20"/>
      <c r="Q12" s="311">
        <f>DATE(YEAR-1,1,1)</f>
        <v>44562</v>
      </c>
      <c r="R12" s="81"/>
    </row>
    <row r="13" spans="1:19" ht="12.75" customHeight="1" x14ac:dyDescent="0.2">
      <c r="B13" s="8">
        <v>2</v>
      </c>
      <c r="C13" s="9">
        <v>61</v>
      </c>
      <c r="D13" s="10" t="s">
        <v>7</v>
      </c>
      <c r="E13" s="11">
        <v>90</v>
      </c>
      <c r="F13" s="12">
        <f>ROUND(F12*LEV_FACTOR,0)</f>
        <v>63349</v>
      </c>
      <c r="G13" s="12">
        <f t="shared" si="0"/>
        <v>79186</v>
      </c>
      <c r="H13" s="13">
        <f t="shared" si="1"/>
        <v>95024</v>
      </c>
      <c r="J13" s="81"/>
      <c r="K13" s="2"/>
      <c r="L13" s="21" t="s">
        <v>110</v>
      </c>
      <c r="M13" s="146">
        <v>2023</v>
      </c>
      <c r="N13" s="820" t="s">
        <v>19</v>
      </c>
      <c r="O13" s="821"/>
      <c r="P13" s="3"/>
      <c r="Q13" s="312">
        <f>DATE(YEAR,1,1)</f>
        <v>44927</v>
      </c>
      <c r="R13" s="81"/>
    </row>
    <row r="14" spans="1:19" ht="13.5" customHeight="1" thickBot="1" x14ac:dyDescent="0.25">
      <c r="B14" s="8">
        <v>3</v>
      </c>
      <c r="C14" s="9">
        <v>91</v>
      </c>
      <c r="D14" s="10" t="s">
        <v>7</v>
      </c>
      <c r="E14" s="11">
        <v>135</v>
      </c>
      <c r="F14" s="12">
        <f>ROUND(F13*LEV_FACTOR,0)</f>
        <v>70381</v>
      </c>
      <c r="G14" s="12">
        <f t="shared" si="0"/>
        <v>87976</v>
      </c>
      <c r="H14" s="13">
        <f t="shared" si="1"/>
        <v>105572</v>
      </c>
      <c r="J14" s="81"/>
      <c r="K14" s="2"/>
      <c r="L14" s="22" t="s">
        <v>61</v>
      </c>
      <c r="M14" s="147">
        <v>57020</v>
      </c>
      <c r="N14" s="836" t="s">
        <v>20</v>
      </c>
      <c r="O14" s="814"/>
      <c r="P14" s="2"/>
      <c r="Q14" s="313">
        <f>DATE(YEAR,12,31)</f>
        <v>45291</v>
      </c>
      <c r="R14" s="81"/>
    </row>
    <row r="15" spans="1:19" ht="12.75" customHeight="1" x14ac:dyDescent="0.2">
      <c r="B15" s="8">
        <v>4</v>
      </c>
      <c r="C15" s="9">
        <v>136</v>
      </c>
      <c r="D15" s="10" t="s">
        <v>7</v>
      </c>
      <c r="E15" s="11">
        <v>200</v>
      </c>
      <c r="F15" s="584">
        <f>LEV4_MIN</f>
        <v>77435</v>
      </c>
      <c r="G15" s="12">
        <f t="shared" si="0"/>
        <v>96794</v>
      </c>
      <c r="H15" s="13">
        <f t="shared" si="1"/>
        <v>116153</v>
      </c>
      <c r="J15" s="81"/>
      <c r="K15" s="2"/>
      <c r="L15" s="22" t="s">
        <v>12</v>
      </c>
      <c r="M15" s="148">
        <v>1.111</v>
      </c>
      <c r="N15" s="836" t="s">
        <v>21</v>
      </c>
      <c r="O15" s="814"/>
      <c r="P15" s="2"/>
      <c r="Q15" s="2"/>
      <c r="R15" s="81"/>
    </row>
    <row r="16" spans="1:19" ht="12.75" customHeight="1" x14ac:dyDescent="0.2">
      <c r="B16" s="8">
        <v>5</v>
      </c>
      <c r="C16" s="9">
        <v>201</v>
      </c>
      <c r="D16" s="10" t="s">
        <v>7</v>
      </c>
      <c r="E16" s="11">
        <v>300</v>
      </c>
      <c r="F16" s="12">
        <f>ROUND(F15*LEV_FACTOR,0)</f>
        <v>86030</v>
      </c>
      <c r="G16" s="12">
        <f t="shared" si="0"/>
        <v>107538</v>
      </c>
      <c r="H16" s="13">
        <f t="shared" si="1"/>
        <v>129045</v>
      </c>
      <c r="J16" s="81"/>
      <c r="K16" s="2"/>
      <c r="L16" s="583" t="s">
        <v>826</v>
      </c>
      <c r="M16" s="147">
        <v>77435</v>
      </c>
      <c r="N16" s="844" t="s">
        <v>10</v>
      </c>
      <c r="O16" s="845"/>
      <c r="P16" s="2"/>
      <c r="Q16" s="2"/>
      <c r="R16" s="81"/>
    </row>
    <row r="17" spans="1:18" ht="12.75" customHeight="1" x14ac:dyDescent="0.2">
      <c r="B17" s="8">
        <v>6</v>
      </c>
      <c r="C17" s="9">
        <v>301</v>
      </c>
      <c r="D17" s="10" t="s">
        <v>7</v>
      </c>
      <c r="E17" s="11">
        <v>450</v>
      </c>
      <c r="F17" s="12">
        <f>ROUND(F16*LEV_FACTOR,0)</f>
        <v>95579</v>
      </c>
      <c r="G17" s="12">
        <f t="shared" si="0"/>
        <v>119474</v>
      </c>
      <c r="H17" s="13">
        <f t="shared" si="1"/>
        <v>143369</v>
      </c>
      <c r="J17" s="81"/>
      <c r="K17" s="2"/>
      <c r="L17" s="22" t="s">
        <v>62</v>
      </c>
      <c r="M17" s="148">
        <v>1.25</v>
      </c>
      <c r="N17" s="844" t="s">
        <v>10</v>
      </c>
      <c r="O17" s="845"/>
      <c r="P17" s="2"/>
      <c r="Q17" s="2"/>
      <c r="R17" s="81"/>
    </row>
    <row r="18" spans="1:18" ht="12.75" customHeight="1" x14ac:dyDescent="0.2">
      <c r="A18" s="6"/>
      <c r="B18" s="8">
        <v>7</v>
      </c>
      <c r="C18" s="9">
        <v>451</v>
      </c>
      <c r="D18" s="10" t="s">
        <v>7</v>
      </c>
      <c r="E18" s="11">
        <v>675</v>
      </c>
      <c r="F18" s="12">
        <f>ROUND(F17*LEV_FACTOR,0)</f>
        <v>106188</v>
      </c>
      <c r="G18" s="12">
        <f t="shared" si="0"/>
        <v>132735</v>
      </c>
      <c r="H18" s="13">
        <f t="shared" si="1"/>
        <v>159282</v>
      </c>
      <c r="J18" s="81"/>
      <c r="K18" s="2"/>
      <c r="L18" s="22" t="s">
        <v>63</v>
      </c>
      <c r="M18" s="148">
        <v>1.5</v>
      </c>
      <c r="N18" s="813" t="s">
        <v>136</v>
      </c>
      <c r="O18" s="814"/>
      <c r="P18" s="2"/>
      <c r="Q18" s="2"/>
      <c r="R18" s="81"/>
    </row>
    <row r="19" spans="1:18" ht="13.5" customHeight="1" thickBot="1" x14ac:dyDescent="0.25">
      <c r="B19" s="8">
        <v>8</v>
      </c>
      <c r="C19" s="9">
        <v>676</v>
      </c>
      <c r="D19" s="10" t="s">
        <v>7</v>
      </c>
      <c r="E19" s="11" t="s">
        <v>46</v>
      </c>
      <c r="F19" s="12">
        <f>ROUND(F18*LEV_FACTOR,0)</f>
        <v>117975</v>
      </c>
      <c r="G19" s="12">
        <f t="shared" si="0"/>
        <v>147469</v>
      </c>
      <c r="H19" s="13">
        <f t="shared" si="1"/>
        <v>176963</v>
      </c>
      <c r="J19" s="81"/>
      <c r="K19" s="2"/>
      <c r="L19" s="22" t="s">
        <v>654</v>
      </c>
      <c r="M19" s="148">
        <v>0.75</v>
      </c>
      <c r="N19" s="815" t="s">
        <v>137</v>
      </c>
      <c r="O19" s="816"/>
      <c r="P19" s="2"/>
      <c r="Q19" s="2"/>
      <c r="R19" s="81"/>
    </row>
    <row r="20" spans="1:18" ht="13.5" customHeight="1" thickBot="1" x14ac:dyDescent="0.25">
      <c r="A20" s="6"/>
      <c r="B20" s="817" t="s">
        <v>172</v>
      </c>
      <c r="C20" s="818"/>
      <c r="D20" s="818"/>
      <c r="E20" s="818"/>
      <c r="F20" s="818"/>
      <c r="G20" s="818"/>
      <c r="H20" s="819"/>
      <c r="J20" s="81"/>
      <c r="K20" s="2"/>
      <c r="L20" s="77" t="s">
        <v>132</v>
      </c>
      <c r="M20" s="149">
        <v>0</v>
      </c>
      <c r="N20" s="242" t="s">
        <v>381</v>
      </c>
      <c r="O20" s="398" t="s">
        <v>867</v>
      </c>
      <c r="P20" s="2"/>
      <c r="Q20" s="2"/>
      <c r="R20" s="81"/>
    </row>
    <row r="21" spans="1:18" ht="12.75" customHeight="1" thickBot="1" x14ac:dyDescent="0.25">
      <c r="B21" s="14" t="s">
        <v>8</v>
      </c>
      <c r="C21" s="15">
        <v>0</v>
      </c>
      <c r="D21" s="16" t="s">
        <v>7</v>
      </c>
      <c r="E21" s="16" t="s">
        <v>46</v>
      </c>
      <c r="F21" s="17">
        <f>F13</f>
        <v>63349</v>
      </c>
      <c r="G21" s="17">
        <f>G13</f>
        <v>79186</v>
      </c>
      <c r="H21" s="18">
        <f>H13</f>
        <v>95024</v>
      </c>
      <c r="J21" s="81"/>
      <c r="K21" s="2"/>
      <c r="L21" s="77" t="s">
        <v>133</v>
      </c>
      <c r="M21" s="149">
        <v>500</v>
      </c>
      <c r="N21" s="243" t="s">
        <v>382</v>
      </c>
      <c r="O21" s="399">
        <v>2</v>
      </c>
      <c r="P21" s="2"/>
      <c r="Q21" s="2"/>
      <c r="R21" s="81"/>
    </row>
    <row r="22" spans="1:18" ht="13.5" customHeight="1" thickBot="1" x14ac:dyDescent="0.25">
      <c r="B22" s="817" t="s">
        <v>655</v>
      </c>
      <c r="C22" s="818"/>
      <c r="D22" s="818"/>
      <c r="E22" s="818"/>
      <c r="F22" s="818"/>
      <c r="G22" s="818"/>
      <c r="H22" s="819"/>
      <c r="J22" s="81"/>
      <c r="K22" s="2"/>
      <c r="L22" s="78" t="s">
        <v>134</v>
      </c>
      <c r="M22" s="240">
        <v>1000</v>
      </c>
      <c r="N22" s="244" t="s">
        <v>383</v>
      </c>
      <c r="O22" s="400">
        <v>4</v>
      </c>
      <c r="P22" s="2"/>
      <c r="Q22" s="2"/>
      <c r="R22" s="81"/>
    </row>
    <row r="23" spans="1:18" ht="12.75" customHeight="1" thickBot="1" x14ac:dyDescent="0.25">
      <c r="B23" s="8">
        <v>1</v>
      </c>
      <c r="C23" s="9">
        <v>0</v>
      </c>
      <c r="D23" s="10" t="s">
        <v>7</v>
      </c>
      <c r="E23" s="11">
        <v>60</v>
      </c>
      <c r="F23" s="12">
        <f t="shared" ref="F23:H30" si="2">ROUND(CLP_FACTOR*F12,0)</f>
        <v>42765</v>
      </c>
      <c r="G23" s="12">
        <f t="shared" si="2"/>
        <v>53456</v>
      </c>
      <c r="H23" s="12">
        <f t="shared" si="2"/>
        <v>64148</v>
      </c>
      <c r="J23" s="81"/>
      <c r="K23" s="2"/>
      <c r="L23" s="79" t="s">
        <v>135</v>
      </c>
      <c r="M23" s="241">
        <f>SUM(M21:M22)</f>
        <v>1500</v>
      </c>
      <c r="N23" s="2"/>
      <c r="O23" s="2"/>
      <c r="P23" s="2"/>
      <c r="Q23" s="2"/>
      <c r="R23" s="81"/>
    </row>
    <row r="24" spans="1:18" ht="12.75" customHeight="1" thickBot="1" x14ac:dyDescent="0.25">
      <c r="B24" s="8">
        <v>2</v>
      </c>
      <c r="C24" s="9">
        <v>61</v>
      </c>
      <c r="D24" s="10" t="s">
        <v>7</v>
      </c>
      <c r="E24" s="11">
        <v>90</v>
      </c>
      <c r="F24" s="12">
        <f t="shared" si="2"/>
        <v>47512</v>
      </c>
      <c r="G24" s="12">
        <f t="shared" si="2"/>
        <v>59390</v>
      </c>
      <c r="H24" s="12">
        <f t="shared" si="2"/>
        <v>71268</v>
      </c>
      <c r="J24" s="81"/>
      <c r="K24" s="81"/>
      <c r="L24" s="2"/>
      <c r="M24" s="2"/>
      <c r="N24" s="2"/>
      <c r="O24" s="2"/>
      <c r="P24" s="2"/>
      <c r="Q24" s="2"/>
      <c r="R24" s="81"/>
    </row>
    <row r="25" spans="1:18" ht="12.75" customHeight="1" x14ac:dyDescent="0.2">
      <c r="B25" s="8">
        <v>3</v>
      </c>
      <c r="C25" s="9">
        <v>91</v>
      </c>
      <c r="D25" s="10" t="s">
        <v>7</v>
      </c>
      <c r="E25" s="11">
        <v>135</v>
      </c>
      <c r="F25" s="12">
        <f t="shared" si="2"/>
        <v>52786</v>
      </c>
      <c r="G25" s="12">
        <f t="shared" si="2"/>
        <v>65982</v>
      </c>
      <c r="H25" s="12">
        <f t="shared" si="2"/>
        <v>79179</v>
      </c>
      <c r="J25" s="81"/>
      <c r="K25" s="81"/>
      <c r="L25" s="829" t="s">
        <v>139</v>
      </c>
      <c r="M25" s="830"/>
      <c r="N25" s="208" t="s">
        <v>146</v>
      </c>
      <c r="O25" s="830" t="s">
        <v>148</v>
      </c>
      <c r="P25" s="831"/>
      <c r="Q25" s="2"/>
      <c r="R25" s="81"/>
    </row>
    <row r="26" spans="1:18" ht="12.75" customHeight="1" x14ac:dyDescent="0.2">
      <c r="B26" s="8">
        <v>4</v>
      </c>
      <c r="C26" s="9">
        <v>136</v>
      </c>
      <c r="D26" s="10" t="s">
        <v>7</v>
      </c>
      <c r="E26" s="11">
        <v>200</v>
      </c>
      <c r="F26" s="12">
        <f t="shared" si="2"/>
        <v>58076</v>
      </c>
      <c r="G26" s="12">
        <f t="shared" si="2"/>
        <v>72596</v>
      </c>
      <c r="H26" s="12">
        <f t="shared" si="2"/>
        <v>87115</v>
      </c>
      <c r="J26" s="81"/>
      <c r="K26" s="81"/>
      <c r="L26" s="834" t="s">
        <v>143</v>
      </c>
      <c r="M26" s="835"/>
      <c r="N26" s="150">
        <v>0.153</v>
      </c>
      <c r="O26" s="839">
        <v>2.9000000000000001E-2</v>
      </c>
      <c r="P26" s="840"/>
      <c r="Q26" s="2"/>
      <c r="R26" s="81"/>
    </row>
    <row r="27" spans="1:18" ht="12.75" customHeight="1" x14ac:dyDescent="0.2">
      <c r="B27" s="8">
        <v>5</v>
      </c>
      <c r="C27" s="9">
        <v>201</v>
      </c>
      <c r="D27" s="10" t="s">
        <v>7</v>
      </c>
      <c r="E27" s="11">
        <v>300</v>
      </c>
      <c r="F27" s="12">
        <f t="shared" si="2"/>
        <v>64523</v>
      </c>
      <c r="G27" s="12">
        <f t="shared" si="2"/>
        <v>80654</v>
      </c>
      <c r="H27" s="12">
        <f t="shared" si="2"/>
        <v>96784</v>
      </c>
      <c r="J27" s="81"/>
      <c r="K27" s="81"/>
      <c r="L27" s="834" t="s">
        <v>142</v>
      </c>
      <c r="M27" s="835"/>
      <c r="N27" s="150">
        <v>0.92349999999999999</v>
      </c>
      <c r="O27" s="837">
        <f>N27</f>
        <v>0.92349999999999999</v>
      </c>
      <c r="P27" s="838"/>
      <c r="Q27" s="2"/>
      <c r="R27" s="81"/>
    </row>
    <row r="28" spans="1:18" ht="12.75" customHeight="1" x14ac:dyDescent="0.2">
      <c r="B28" s="8">
        <v>6</v>
      </c>
      <c r="C28" s="9">
        <v>301</v>
      </c>
      <c r="D28" s="10" t="s">
        <v>7</v>
      </c>
      <c r="E28" s="11">
        <v>450</v>
      </c>
      <c r="F28" s="12">
        <f t="shared" si="2"/>
        <v>71684</v>
      </c>
      <c r="G28" s="12">
        <f t="shared" si="2"/>
        <v>89606</v>
      </c>
      <c r="H28" s="12">
        <f t="shared" si="2"/>
        <v>107527</v>
      </c>
      <c r="J28" s="81"/>
      <c r="K28" s="81"/>
      <c r="L28" s="834" t="s">
        <v>144</v>
      </c>
      <c r="M28" s="835"/>
      <c r="N28" s="82">
        <f>N26*N27</f>
        <v>0.14129549999999999</v>
      </c>
      <c r="O28" s="822">
        <f>O26*O27</f>
        <v>2.67815E-2</v>
      </c>
      <c r="P28" s="823"/>
      <c r="Q28" s="2"/>
      <c r="R28" s="81"/>
    </row>
    <row r="29" spans="1:18" ht="12.75" customHeight="1" thickBot="1" x14ac:dyDescent="0.25">
      <c r="B29" s="8">
        <v>7</v>
      </c>
      <c r="C29" s="9">
        <v>451</v>
      </c>
      <c r="D29" s="10" t="s">
        <v>7</v>
      </c>
      <c r="E29" s="11">
        <v>675</v>
      </c>
      <c r="F29" s="12">
        <f t="shared" si="2"/>
        <v>79641</v>
      </c>
      <c r="G29" s="12">
        <f t="shared" si="2"/>
        <v>99551</v>
      </c>
      <c r="H29" s="12">
        <f t="shared" si="2"/>
        <v>119462</v>
      </c>
      <c r="J29" s="81"/>
      <c r="K29" s="81"/>
      <c r="L29" s="217" t="s">
        <v>145</v>
      </c>
      <c r="M29" s="218"/>
      <c r="N29" s="219">
        <v>0</v>
      </c>
      <c r="O29" s="832">
        <v>12648</v>
      </c>
      <c r="P29" s="833"/>
      <c r="Q29" s="2"/>
      <c r="R29" s="81"/>
    </row>
    <row r="30" spans="1:18" ht="13.5" customHeight="1" thickBot="1" x14ac:dyDescent="0.25">
      <c r="B30" s="8">
        <v>8</v>
      </c>
      <c r="C30" s="9">
        <v>676</v>
      </c>
      <c r="D30" s="10" t="s">
        <v>7</v>
      </c>
      <c r="E30" s="11" t="s">
        <v>46</v>
      </c>
      <c r="F30" s="12">
        <f t="shared" si="2"/>
        <v>88481</v>
      </c>
      <c r="G30" s="12">
        <f t="shared" si="2"/>
        <v>110602</v>
      </c>
      <c r="H30" s="12">
        <f t="shared" si="2"/>
        <v>132722</v>
      </c>
      <c r="J30" s="81"/>
      <c r="K30" s="81"/>
      <c r="L30" s="2"/>
      <c r="M30" s="2"/>
      <c r="N30" s="2"/>
      <c r="O30" s="2"/>
      <c r="P30" s="2"/>
      <c r="Q30" s="2"/>
      <c r="R30" s="81"/>
    </row>
    <row r="31" spans="1:18" ht="13.5" customHeight="1" x14ac:dyDescent="0.2">
      <c r="B31" s="817" t="s">
        <v>656</v>
      </c>
      <c r="C31" s="818"/>
      <c r="D31" s="818"/>
      <c r="E31" s="818"/>
      <c r="F31" s="818"/>
      <c r="G31" s="818"/>
      <c r="H31" s="819"/>
      <c r="J31" s="94"/>
      <c r="K31" s="81"/>
      <c r="L31" s="81"/>
      <c r="M31" s="81"/>
      <c r="N31" s="81"/>
      <c r="O31" s="81"/>
      <c r="P31" s="81"/>
      <c r="Q31" s="81"/>
      <c r="R31" s="81"/>
    </row>
    <row r="32" spans="1:18" ht="15.75" customHeight="1" thickBot="1" x14ac:dyDescent="0.25">
      <c r="B32" s="14" t="s">
        <v>8</v>
      </c>
      <c r="C32" s="15">
        <v>0</v>
      </c>
      <c r="D32" s="16" t="s">
        <v>7</v>
      </c>
      <c r="E32" s="16" t="s">
        <v>46</v>
      </c>
      <c r="F32" s="17">
        <f>F24</f>
        <v>47512</v>
      </c>
      <c r="G32" s="17">
        <f>G24</f>
        <v>59390</v>
      </c>
      <c r="H32" s="17">
        <f>H24</f>
        <v>71268</v>
      </c>
      <c r="I32" s="73"/>
      <c r="J32" s="94"/>
      <c r="K32" s="81"/>
      <c r="L32" s="81"/>
      <c r="M32" s="81"/>
      <c r="N32" s="81"/>
      <c r="O32" s="81"/>
      <c r="P32" s="81"/>
      <c r="Q32" s="81"/>
      <c r="R32" s="81"/>
    </row>
    <row r="33" spans="1:18" ht="15.75" customHeight="1" x14ac:dyDescent="0.2">
      <c r="B33" s="827" t="s">
        <v>141</v>
      </c>
      <c r="C33" s="818"/>
      <c r="D33" s="818"/>
      <c r="E33" s="818"/>
      <c r="F33" s="818"/>
      <c r="G33" s="818"/>
      <c r="H33" s="819"/>
      <c r="I33" s="73"/>
      <c r="J33" s="94"/>
      <c r="K33" s="81"/>
      <c r="L33" s="81"/>
      <c r="M33" s="81"/>
      <c r="N33" s="81"/>
      <c r="O33" s="81"/>
      <c r="P33" s="81"/>
      <c r="Q33" s="81"/>
      <c r="R33" s="81"/>
    </row>
    <row r="34" spans="1:18" ht="15.75" customHeight="1" thickBot="1" x14ac:dyDescent="0.25">
      <c r="B34" s="14" t="s">
        <v>8</v>
      </c>
      <c r="C34" s="15">
        <v>0</v>
      </c>
      <c r="D34" s="16" t="s">
        <v>7</v>
      </c>
      <c r="E34" s="301" t="s">
        <v>46</v>
      </c>
      <c r="F34" s="303" t="s">
        <v>479</v>
      </c>
      <c r="G34" s="300" t="s">
        <v>478</v>
      </c>
      <c r="H34" s="302" t="s">
        <v>477</v>
      </c>
      <c r="I34" s="73"/>
      <c r="J34" s="95"/>
      <c r="K34" s="81"/>
      <c r="L34" s="81"/>
      <c r="M34" s="81"/>
      <c r="N34" s="81"/>
      <c r="O34" s="81"/>
      <c r="P34" s="81"/>
      <c r="Q34" s="81"/>
      <c r="R34" s="81"/>
    </row>
    <row r="35" spans="1:18" ht="12.75" customHeight="1" x14ac:dyDescent="0.2">
      <c r="F35" s="103"/>
      <c r="G35" s="103"/>
      <c r="H35" s="103"/>
      <c r="I35" s="74" t="str">
        <f>N16</f>
        <v xml:space="preserve"> </v>
      </c>
      <c r="J35" s="5"/>
      <c r="K35" s="81"/>
      <c r="L35" s="81"/>
      <c r="M35" s="81"/>
      <c r="N35" s="81"/>
      <c r="O35" s="81"/>
      <c r="P35" s="81"/>
      <c r="Q35" s="81"/>
      <c r="R35" s="81"/>
    </row>
    <row r="36" spans="1:18" ht="12.75" customHeight="1" x14ac:dyDescent="0.2">
      <c r="A36" s="2"/>
      <c r="B36" s="2"/>
      <c r="C36" s="2"/>
      <c r="D36" s="2"/>
      <c r="E36" s="2"/>
      <c r="F36" s="2"/>
      <c r="G36" s="2"/>
      <c r="H36" s="2"/>
      <c r="I36" s="2"/>
      <c r="J36" s="2"/>
      <c r="K36" s="81"/>
      <c r="L36" s="81"/>
      <c r="M36" s="81"/>
      <c r="N36" s="81"/>
      <c r="O36" s="81"/>
      <c r="P36" s="81"/>
      <c r="Q36" s="81"/>
      <c r="R36" s="81"/>
    </row>
    <row r="54" spans="9:9" x14ac:dyDescent="0.2">
      <c r="I54" s="314"/>
    </row>
    <row r="55" spans="9:9" x14ac:dyDescent="0.2">
      <c r="I55" s="314"/>
    </row>
    <row r="56" spans="9:9" x14ac:dyDescent="0.2">
      <c r="I56" s="314"/>
    </row>
    <row r="57" spans="9:9" x14ac:dyDescent="0.2">
      <c r="I57" s="314"/>
    </row>
  </sheetData>
  <sheetProtection sheet="1" objects="1" scenarios="1" selectLockedCells="1" selectUnlockedCells="1"/>
  <mergeCells count="33">
    <mergeCell ref="B2:H2"/>
    <mergeCell ref="N17:O17"/>
    <mergeCell ref="A4:I4"/>
    <mergeCell ref="A5:I5"/>
    <mergeCell ref="A6:I6"/>
    <mergeCell ref="A7:I7"/>
    <mergeCell ref="B11:H11"/>
    <mergeCell ref="N16:O16"/>
    <mergeCell ref="B9:B10"/>
    <mergeCell ref="C9:E10"/>
    <mergeCell ref="F9:H9"/>
    <mergeCell ref="N14:O14"/>
    <mergeCell ref="L10:O10"/>
    <mergeCell ref="O28:P28"/>
    <mergeCell ref="L12:O12"/>
    <mergeCell ref="B33:H33"/>
    <mergeCell ref="I8:I9"/>
    <mergeCell ref="L25:M25"/>
    <mergeCell ref="O25:P25"/>
    <mergeCell ref="B31:H31"/>
    <mergeCell ref="O29:P29"/>
    <mergeCell ref="L28:M28"/>
    <mergeCell ref="L26:M26"/>
    <mergeCell ref="L27:M27"/>
    <mergeCell ref="N15:O15"/>
    <mergeCell ref="O27:P27"/>
    <mergeCell ref="O26:P26"/>
    <mergeCell ref="Q10:Q11"/>
    <mergeCell ref="N18:O18"/>
    <mergeCell ref="N19:O19"/>
    <mergeCell ref="B22:H22"/>
    <mergeCell ref="B20:H20"/>
    <mergeCell ref="N13:O13"/>
  </mergeCells>
  <phoneticPr fontId="0" type="noConversion"/>
  <conditionalFormatting sqref="B11:H11">
    <cfRule type="expression" dxfId="6" priority="1" stopIfTrue="1">
      <formula>P_CLASS="LM"</formula>
    </cfRule>
  </conditionalFormatting>
  <conditionalFormatting sqref="B31:H32">
    <cfRule type="expression" dxfId="5" priority="711" stopIfTrue="1">
      <formula>P_CLASS="AC"</formula>
    </cfRule>
  </conditionalFormatting>
  <conditionalFormatting sqref="B22:H22">
    <cfRule type="expression" dxfId="4" priority="709" stopIfTrue="1">
      <formula>P_CLASS="LC"</formula>
    </cfRule>
  </conditionalFormatting>
  <conditionalFormatting sqref="B20:H21">
    <cfRule type="expression" dxfId="3" priority="707" stopIfTrue="1">
      <formula>P_CLASS="AM"</formula>
    </cfRule>
  </conditionalFormatting>
  <conditionalFormatting sqref="B12:H19">
    <cfRule type="expression" dxfId="2" priority="706" stopIfTrue="1">
      <formula>COMP_LINE=$B12</formula>
    </cfRule>
  </conditionalFormatting>
  <conditionalFormatting sqref="B23:H30">
    <cfRule type="expression" dxfId="1" priority="710" stopIfTrue="1">
      <formula>COMP_LINE=$B23+11</formula>
    </cfRule>
  </conditionalFormatting>
  <conditionalFormatting sqref="B33:H34">
    <cfRule type="expression" dxfId="0" priority="712" stopIfTrue="1">
      <formula>P_CLASS&gt;"O"</formula>
    </cfRule>
  </conditionalFormatting>
  <printOptions horizontalCentered="1" verticalCentered="1" headings="1"/>
  <pageMargins left="0.75" right="0.75" top="1" bottom="1" header="0.5" footer="0.5"/>
  <pageSetup orientation="portrait" r:id="rId1"/>
  <headerFooter alignWithMargins="0">
    <oddFooter>&amp;L&amp;F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1A500-8F95-40FB-9C71-3735D9EEE771}">
  <sheetPr>
    <pageSetUpPr fitToPage="1"/>
  </sheetPr>
  <dimension ref="B1:M38"/>
  <sheetViews>
    <sheetView showGridLines="0" showRowColHeaders="0" workbookViewId="0">
      <selection activeCell="B2" sqref="B2"/>
    </sheetView>
  </sheetViews>
  <sheetFormatPr defaultRowHeight="12.75" x14ac:dyDescent="0.2"/>
  <cols>
    <col min="1" max="2" width="3" customWidth="1"/>
    <col min="3" max="3" width="22.140625" customWidth="1"/>
    <col min="4" max="8" width="11.42578125" customWidth="1"/>
    <col min="9" max="10" width="12.5703125" customWidth="1"/>
    <col min="13" max="13" width="9.85546875" style="7" customWidth="1"/>
  </cols>
  <sheetData>
    <row r="1" spans="2:13" ht="15.75" customHeight="1" x14ac:dyDescent="0.25">
      <c r="B1" s="856" t="s">
        <v>789</v>
      </c>
      <c r="C1" s="856"/>
      <c r="D1" s="856"/>
      <c r="E1" s="499">
        <f>YEAR</f>
        <v>2023</v>
      </c>
      <c r="J1" s="548" t="str">
        <f>DRAFT</f>
        <v xml:space="preserve"> </v>
      </c>
      <c r="K1" s="500" t="s">
        <v>381</v>
      </c>
      <c r="L1" s="494" t="str">
        <f>VERSION</f>
        <v>11-30</v>
      </c>
    </row>
    <row r="2" spans="2:13" ht="18" customHeight="1" x14ac:dyDescent="0.2">
      <c r="C2" s="103"/>
      <c r="K2" s="496"/>
      <c r="L2" s="495"/>
    </row>
    <row r="3" spans="2:13" ht="18.75" thickBot="1" x14ac:dyDescent="0.3">
      <c r="C3" s="873" t="s">
        <v>827</v>
      </c>
      <c r="D3" s="873"/>
      <c r="E3" s="873"/>
      <c r="F3" s="873"/>
      <c r="G3" s="873"/>
      <c r="H3" s="873"/>
      <c r="I3" s="873"/>
      <c r="J3" s="873"/>
      <c r="K3" s="873"/>
      <c r="L3" s="873"/>
    </row>
    <row r="4" spans="2:13" ht="18" customHeight="1" x14ac:dyDescent="0.2">
      <c r="B4" s="899" t="s">
        <v>764</v>
      </c>
      <c r="C4" s="900"/>
      <c r="D4" s="709" t="s">
        <v>788</v>
      </c>
      <c r="E4" s="710"/>
      <c r="F4" s="711"/>
      <c r="G4" s="896" t="s">
        <v>829</v>
      </c>
      <c r="H4" s="897"/>
      <c r="I4" s="874" t="s">
        <v>768</v>
      </c>
      <c r="J4" s="875"/>
      <c r="K4" s="706" t="s">
        <v>821</v>
      </c>
      <c r="L4" s="708"/>
      <c r="M4" s="894" t="s">
        <v>823</v>
      </c>
    </row>
    <row r="5" spans="2:13" ht="45" customHeight="1" thickBot="1" x14ac:dyDescent="0.25">
      <c r="B5" s="901"/>
      <c r="C5" s="902"/>
      <c r="D5" s="497" t="s">
        <v>787</v>
      </c>
      <c r="E5" s="501" t="s">
        <v>765</v>
      </c>
      <c r="F5" s="501" t="s">
        <v>766</v>
      </c>
      <c r="G5" s="566" t="s">
        <v>820</v>
      </c>
      <c r="H5" s="498" t="s">
        <v>767</v>
      </c>
      <c r="I5" s="497" t="s">
        <v>284</v>
      </c>
      <c r="J5" s="498" t="s">
        <v>17</v>
      </c>
      <c r="K5" s="497" t="s">
        <v>833</v>
      </c>
      <c r="L5" s="498" t="s">
        <v>834</v>
      </c>
      <c r="M5" s="895"/>
    </row>
    <row r="6" spans="2:13" s="4" customFormat="1" ht="18" customHeight="1" x14ac:dyDescent="0.2">
      <c r="B6" s="535"/>
      <c r="C6" s="547" t="s">
        <v>819</v>
      </c>
      <c r="D6" s="565" t="s">
        <v>483</v>
      </c>
      <c r="E6" s="502" t="s">
        <v>735</v>
      </c>
      <c r="F6" s="502" t="s">
        <v>735</v>
      </c>
      <c r="G6" s="549" t="s">
        <v>770</v>
      </c>
      <c r="H6" s="503" t="s">
        <v>483</v>
      </c>
      <c r="I6" s="504">
        <v>16200</v>
      </c>
      <c r="J6" s="638">
        <v>305000</v>
      </c>
      <c r="K6" s="505">
        <v>8.5000000000000006E-2</v>
      </c>
      <c r="L6" s="570"/>
      <c r="M6" s="578">
        <v>1</v>
      </c>
    </row>
    <row r="7" spans="2:13" s="4" customFormat="1" ht="18" customHeight="1" x14ac:dyDescent="0.2">
      <c r="B7" s="533"/>
      <c r="C7" s="534" t="s">
        <v>257</v>
      </c>
      <c r="D7" s="506" t="s">
        <v>483</v>
      </c>
      <c r="E7" s="507" t="s">
        <v>735</v>
      </c>
      <c r="F7" s="507" t="s">
        <v>735</v>
      </c>
      <c r="G7" s="508" t="s">
        <v>770</v>
      </c>
      <c r="H7" s="509" t="s">
        <v>483</v>
      </c>
      <c r="I7" s="510">
        <v>16200</v>
      </c>
      <c r="J7" s="557">
        <v>305000</v>
      </c>
      <c r="K7" s="511">
        <v>0.01</v>
      </c>
      <c r="L7" s="571">
        <v>2.5000000000000001E-2</v>
      </c>
      <c r="M7" s="579">
        <v>1</v>
      </c>
    </row>
    <row r="8" spans="2:13" s="4" customFormat="1" ht="18" customHeight="1" x14ac:dyDescent="0.2">
      <c r="B8" s="533"/>
      <c r="C8" s="534" t="s">
        <v>738</v>
      </c>
      <c r="D8" s="506" t="s">
        <v>483</v>
      </c>
      <c r="E8" s="507" t="s">
        <v>483</v>
      </c>
      <c r="F8" s="507" t="s">
        <v>483</v>
      </c>
      <c r="G8" s="508" t="s">
        <v>770</v>
      </c>
      <c r="H8" s="509" t="s">
        <v>483</v>
      </c>
      <c r="I8" s="510">
        <v>0</v>
      </c>
      <c r="J8" s="557">
        <v>305000</v>
      </c>
      <c r="K8" s="511" t="s">
        <v>483</v>
      </c>
      <c r="L8" s="571">
        <v>3.5000000000000001E-3</v>
      </c>
      <c r="M8" s="579">
        <v>1</v>
      </c>
    </row>
    <row r="9" spans="2:13" s="4" customFormat="1" ht="18" customHeight="1" x14ac:dyDescent="0.2">
      <c r="B9" s="533"/>
      <c r="C9" s="534" t="s">
        <v>760</v>
      </c>
      <c r="D9" s="506" t="s">
        <v>483</v>
      </c>
      <c r="E9" s="507" t="s">
        <v>735</v>
      </c>
      <c r="F9" s="507" t="s">
        <v>735</v>
      </c>
      <c r="G9" s="508" t="s">
        <v>770</v>
      </c>
      <c r="H9" s="509" t="s">
        <v>483</v>
      </c>
      <c r="I9" s="556">
        <v>14325</v>
      </c>
      <c r="J9" s="557">
        <v>290000</v>
      </c>
      <c r="K9" s="511">
        <v>5.0000000000000001E-3</v>
      </c>
      <c r="L9" s="572">
        <v>1.0385E-2</v>
      </c>
      <c r="M9" s="580" t="s">
        <v>825</v>
      </c>
    </row>
    <row r="10" spans="2:13" s="4" customFormat="1" ht="18" customHeight="1" x14ac:dyDescent="0.2">
      <c r="B10" s="533"/>
      <c r="C10" s="534" t="s">
        <v>771</v>
      </c>
      <c r="D10" s="506" t="s">
        <v>483</v>
      </c>
      <c r="E10" s="507" t="s">
        <v>735</v>
      </c>
      <c r="F10" s="507" t="s">
        <v>483</v>
      </c>
      <c r="G10" s="507" t="s">
        <v>483</v>
      </c>
      <c r="H10" s="509" t="s">
        <v>483</v>
      </c>
      <c r="I10" s="586">
        <v>39655.17</v>
      </c>
      <c r="J10" s="587">
        <v>115517.24</v>
      </c>
      <c r="K10" s="511">
        <v>0.28999999999999998</v>
      </c>
      <c r="L10" s="571" t="s">
        <v>483</v>
      </c>
      <c r="M10" s="579">
        <v>1</v>
      </c>
    </row>
    <row r="11" spans="2:13" s="4" customFormat="1" ht="18" customHeight="1" x14ac:dyDescent="0.2">
      <c r="B11" s="540"/>
      <c r="C11" s="541" t="s">
        <v>774</v>
      </c>
      <c r="D11" s="506" t="s">
        <v>483</v>
      </c>
      <c r="E11" s="576" t="s">
        <v>483</v>
      </c>
      <c r="F11" s="508" t="s">
        <v>770</v>
      </c>
      <c r="G11" s="508" t="s">
        <v>770</v>
      </c>
      <c r="H11" s="509" t="s">
        <v>483</v>
      </c>
      <c r="I11" s="512" t="s">
        <v>483</v>
      </c>
      <c r="J11" s="513" t="s">
        <v>483</v>
      </c>
      <c r="K11" s="876" t="s">
        <v>775</v>
      </c>
      <c r="L11" s="877"/>
      <c r="M11" s="580" t="s">
        <v>824</v>
      </c>
    </row>
    <row r="12" spans="2:13" s="4" customFormat="1" ht="18" customHeight="1" x14ac:dyDescent="0.2">
      <c r="B12" s="540"/>
      <c r="C12" s="585" t="s">
        <v>822</v>
      </c>
      <c r="D12" s="514"/>
      <c r="E12" s="568" t="s">
        <v>735</v>
      </c>
      <c r="F12" s="575" t="s">
        <v>830</v>
      </c>
      <c r="G12" s="569" t="s">
        <v>770</v>
      </c>
      <c r="H12" s="509" t="s">
        <v>483</v>
      </c>
      <c r="I12" s="512"/>
      <c r="J12" s="513"/>
      <c r="K12" s="567">
        <v>0</v>
      </c>
      <c r="L12" s="573">
        <v>21</v>
      </c>
      <c r="M12" s="579">
        <v>1</v>
      </c>
    </row>
    <row r="13" spans="2:13" s="4" customFormat="1" ht="18" customHeight="1" thickBot="1" x14ac:dyDescent="0.25">
      <c r="B13" s="538"/>
      <c r="C13" s="539" t="s">
        <v>769</v>
      </c>
      <c r="D13" s="514" t="s">
        <v>735</v>
      </c>
      <c r="E13" s="515" t="s">
        <v>483</v>
      </c>
      <c r="F13" s="515" t="s">
        <v>483</v>
      </c>
      <c r="G13" s="515" t="s">
        <v>483</v>
      </c>
      <c r="H13" s="516" t="s">
        <v>483</v>
      </c>
      <c r="I13" s="554">
        <v>0</v>
      </c>
      <c r="J13" s="555">
        <v>270000</v>
      </c>
      <c r="K13" s="577">
        <v>0.12</v>
      </c>
      <c r="L13" s="574" t="s">
        <v>483</v>
      </c>
      <c r="M13" s="581">
        <v>1</v>
      </c>
    </row>
    <row r="14" spans="2:13" s="4" customFormat="1" ht="18" customHeight="1" thickBot="1" x14ac:dyDescent="0.25">
      <c r="B14" s="536"/>
      <c r="C14" s="537" t="s">
        <v>772</v>
      </c>
      <c r="D14" s="517">
        <f>K13</f>
        <v>0.12</v>
      </c>
      <c r="E14" s="518">
        <f>K6+K7+K9+K10</f>
        <v>0.39</v>
      </c>
      <c r="F14" s="518">
        <f>K6+K7+K9</f>
        <v>0.1</v>
      </c>
      <c r="G14" s="519" t="s">
        <v>773</v>
      </c>
      <c r="H14" s="520" t="s">
        <v>483</v>
      </c>
      <c r="M14" s="494"/>
    </row>
    <row r="15" spans="2:13" ht="18" customHeight="1" x14ac:dyDescent="0.2"/>
    <row r="16" spans="2:13" ht="18.75" thickBot="1" x14ac:dyDescent="0.3">
      <c r="C16" s="862" t="s">
        <v>828</v>
      </c>
      <c r="D16" s="862"/>
      <c r="E16" s="862"/>
      <c r="F16" s="862"/>
      <c r="G16" s="862"/>
      <c r="H16" s="862"/>
      <c r="I16" s="862"/>
    </row>
    <row r="17" spans="2:13" s="4" customFormat="1" ht="18" customHeight="1" thickBot="1" x14ac:dyDescent="0.25">
      <c r="B17" s="857" t="s">
        <v>203</v>
      </c>
      <c r="C17" s="858" t="s">
        <v>776</v>
      </c>
      <c r="D17" s="859" t="s">
        <v>790</v>
      </c>
      <c r="E17" s="860"/>
      <c r="F17" s="861"/>
      <c r="G17" s="859" t="s">
        <v>831</v>
      </c>
      <c r="H17" s="860"/>
      <c r="I17" s="861"/>
      <c r="J17" s="883" t="s">
        <v>843</v>
      </c>
      <c r="K17" s="884"/>
      <c r="L17" s="885"/>
      <c r="M17" s="494"/>
    </row>
    <row r="18" spans="2:13" s="4" customFormat="1" ht="18" customHeight="1" thickBot="1" x14ac:dyDescent="0.25">
      <c r="B18" s="857"/>
      <c r="C18" s="858"/>
      <c r="D18" s="521" t="s">
        <v>779</v>
      </c>
      <c r="E18" s="522" t="s">
        <v>778</v>
      </c>
      <c r="F18" s="523" t="s">
        <v>777</v>
      </c>
      <c r="G18" s="521" t="s">
        <v>779</v>
      </c>
      <c r="H18" s="522" t="s">
        <v>778</v>
      </c>
      <c r="I18" s="523" t="s">
        <v>777</v>
      </c>
      <c r="J18" s="886"/>
      <c r="K18" s="887"/>
      <c r="L18" s="888"/>
      <c r="M18" s="494"/>
    </row>
    <row r="19" spans="2:13" s="4" customFormat="1" ht="18" customHeight="1" x14ac:dyDescent="0.2">
      <c r="B19" s="546" t="s">
        <v>199</v>
      </c>
      <c r="C19" s="547" t="s">
        <v>500</v>
      </c>
      <c r="D19" s="559">
        <v>6045</v>
      </c>
      <c r="E19" s="560">
        <v>6546</v>
      </c>
      <c r="F19" s="561">
        <v>6701</v>
      </c>
      <c r="G19" s="559">
        <v>6423</v>
      </c>
      <c r="H19" s="560">
        <v>6955</v>
      </c>
      <c r="I19" s="561">
        <v>8182</v>
      </c>
      <c r="J19" s="886"/>
      <c r="K19" s="887"/>
      <c r="L19" s="888"/>
      <c r="M19" s="494"/>
    </row>
    <row r="20" spans="2:13" s="4" customFormat="1" ht="18" customHeight="1" x14ac:dyDescent="0.2">
      <c r="B20" s="544" t="s">
        <v>278</v>
      </c>
      <c r="C20" s="542" t="s">
        <v>501</v>
      </c>
      <c r="D20" s="556">
        <v>12288</v>
      </c>
      <c r="E20" s="562">
        <v>13306</v>
      </c>
      <c r="F20" s="557">
        <v>15654</v>
      </c>
      <c r="G20" s="556">
        <v>13056</v>
      </c>
      <c r="H20" s="562">
        <v>14137</v>
      </c>
      <c r="I20" s="557">
        <v>16632</v>
      </c>
      <c r="J20" s="886"/>
      <c r="K20" s="887"/>
      <c r="L20" s="888"/>
      <c r="M20" s="494"/>
    </row>
    <row r="21" spans="2:13" s="4" customFormat="1" ht="18" customHeight="1" x14ac:dyDescent="0.2">
      <c r="B21" s="544" t="s">
        <v>272</v>
      </c>
      <c r="C21" s="542" t="s">
        <v>502</v>
      </c>
      <c r="D21" s="556">
        <v>9378</v>
      </c>
      <c r="E21" s="562">
        <v>10154</v>
      </c>
      <c r="F21" s="557">
        <v>11946</v>
      </c>
      <c r="G21" s="556">
        <v>9964</v>
      </c>
      <c r="H21" s="562">
        <v>10789</v>
      </c>
      <c r="I21" s="557">
        <v>12693</v>
      </c>
      <c r="J21" s="886"/>
      <c r="K21" s="887"/>
      <c r="L21" s="888"/>
      <c r="M21" s="494"/>
    </row>
    <row r="22" spans="2:13" s="4" customFormat="1" ht="18" customHeight="1" thickBot="1" x14ac:dyDescent="0.25">
      <c r="B22" s="545" t="s">
        <v>198</v>
      </c>
      <c r="C22" s="543" t="s">
        <v>503</v>
      </c>
      <c r="D22" s="563">
        <v>16738</v>
      </c>
      <c r="E22" s="564">
        <v>18125</v>
      </c>
      <c r="F22" s="555">
        <v>21323</v>
      </c>
      <c r="G22" s="563">
        <v>17785</v>
      </c>
      <c r="H22" s="564">
        <v>19258</v>
      </c>
      <c r="I22" s="555">
        <v>22656</v>
      </c>
      <c r="J22" s="889"/>
      <c r="K22" s="890"/>
      <c r="L22" s="891"/>
      <c r="M22" s="494"/>
    </row>
    <row r="23" spans="2:13" ht="18" customHeight="1" x14ac:dyDescent="0.2">
      <c r="I23" s="528"/>
      <c r="J23" s="529"/>
      <c r="K23" s="529"/>
    </row>
    <row r="24" spans="2:13" ht="18.75" thickBot="1" x14ac:dyDescent="0.3">
      <c r="C24" s="873" t="s">
        <v>781</v>
      </c>
      <c r="D24" s="873"/>
      <c r="E24" s="873"/>
      <c r="I24" s="862" t="s">
        <v>810</v>
      </c>
      <c r="J24" s="862"/>
      <c r="K24" s="862"/>
    </row>
    <row r="25" spans="2:13" s="4" customFormat="1" ht="18" customHeight="1" thickBot="1" x14ac:dyDescent="0.25">
      <c r="B25" s="857" t="s">
        <v>203</v>
      </c>
      <c r="C25" s="863" t="s">
        <v>776</v>
      </c>
      <c r="D25" s="865" t="s">
        <v>782</v>
      </c>
      <c r="E25" s="866"/>
      <c r="F25" s="867" t="s">
        <v>862</v>
      </c>
      <c r="G25" s="868"/>
      <c r="H25" s="527"/>
      <c r="I25" s="865" t="s">
        <v>785</v>
      </c>
      <c r="J25" s="898"/>
      <c r="K25" s="551">
        <v>46.8</v>
      </c>
      <c r="M25" s="494"/>
    </row>
    <row r="26" spans="2:13" s="4" customFormat="1" ht="18" customHeight="1" thickBot="1" x14ac:dyDescent="0.25">
      <c r="B26" s="857"/>
      <c r="C26" s="864"/>
      <c r="D26" s="521" t="s">
        <v>780</v>
      </c>
      <c r="E26" s="523" t="s">
        <v>777</v>
      </c>
      <c r="F26" s="869"/>
      <c r="G26" s="870"/>
      <c r="I26" s="892" t="s">
        <v>811</v>
      </c>
      <c r="J26" s="893"/>
      <c r="K26" s="558">
        <v>2.3999999999999998E-3</v>
      </c>
      <c r="M26" s="494"/>
    </row>
    <row r="27" spans="2:13" s="4" customFormat="1" ht="18" customHeight="1" x14ac:dyDescent="0.2">
      <c r="B27" s="546" t="s">
        <v>199</v>
      </c>
      <c r="C27" s="547" t="s">
        <v>500</v>
      </c>
      <c r="D27" s="524">
        <v>310.44</v>
      </c>
      <c r="E27" s="639">
        <v>445.56</v>
      </c>
      <c r="F27" s="869"/>
      <c r="G27" s="870"/>
      <c r="M27" s="494"/>
    </row>
    <row r="28" spans="2:13" s="4" customFormat="1" ht="18" customHeight="1" x14ac:dyDescent="0.2">
      <c r="B28" s="544" t="s">
        <v>278</v>
      </c>
      <c r="C28" s="542" t="s">
        <v>501</v>
      </c>
      <c r="D28" s="525">
        <v>633.48</v>
      </c>
      <c r="E28" s="640">
        <v>891.24</v>
      </c>
      <c r="F28" s="869"/>
      <c r="G28" s="870"/>
      <c r="M28" s="494"/>
    </row>
    <row r="29" spans="2:13" s="4" customFormat="1" ht="18" customHeight="1" x14ac:dyDescent="0.2">
      <c r="B29" s="544" t="s">
        <v>272</v>
      </c>
      <c r="C29" s="542" t="s">
        <v>502</v>
      </c>
      <c r="D29" s="525">
        <v>830.88</v>
      </c>
      <c r="E29" s="640">
        <v>1002.6</v>
      </c>
      <c r="F29" s="869"/>
      <c r="G29" s="870"/>
      <c r="M29" s="494"/>
    </row>
    <row r="30" spans="2:13" s="4" customFormat="1" ht="18" customHeight="1" thickBot="1" x14ac:dyDescent="0.25">
      <c r="B30" s="545" t="s">
        <v>198</v>
      </c>
      <c r="C30" s="543" t="s">
        <v>503</v>
      </c>
      <c r="D30" s="526">
        <v>1161.48</v>
      </c>
      <c r="E30" s="641">
        <v>1448.16</v>
      </c>
      <c r="F30" s="871"/>
      <c r="G30" s="872"/>
      <c r="M30" s="494"/>
    </row>
    <row r="31" spans="2:13" ht="18" customHeight="1" x14ac:dyDescent="0.2"/>
    <row r="32" spans="2:13" ht="18.75" thickBot="1" x14ac:dyDescent="0.3">
      <c r="C32" s="873" t="s">
        <v>783</v>
      </c>
      <c r="D32" s="873"/>
      <c r="I32" s="4"/>
      <c r="J32" s="4"/>
      <c r="K32" s="4"/>
    </row>
    <row r="33" spans="2:13" s="4" customFormat="1" ht="18" customHeight="1" thickBot="1" x14ac:dyDescent="0.25">
      <c r="B33" s="857" t="s">
        <v>203</v>
      </c>
      <c r="C33" s="863" t="s">
        <v>776</v>
      </c>
      <c r="D33" s="878" t="s">
        <v>15</v>
      </c>
      <c r="E33" s="880" t="s">
        <v>784</v>
      </c>
      <c r="F33" s="881"/>
      <c r="M33" s="494"/>
    </row>
    <row r="34" spans="2:13" s="4" customFormat="1" ht="18" customHeight="1" thickBot="1" x14ac:dyDescent="0.25">
      <c r="B34" s="857"/>
      <c r="C34" s="864"/>
      <c r="D34" s="879"/>
      <c r="E34" s="882"/>
      <c r="F34" s="881"/>
      <c r="M34" s="494"/>
    </row>
    <row r="35" spans="2:13" s="4" customFormat="1" ht="18" customHeight="1" x14ac:dyDescent="0.2">
      <c r="B35" s="546" t="s">
        <v>199</v>
      </c>
      <c r="C35" s="547" t="s">
        <v>500</v>
      </c>
      <c r="D35" s="530">
        <v>46.68</v>
      </c>
      <c r="E35" s="882"/>
      <c r="F35" s="881"/>
      <c r="M35" s="494"/>
    </row>
    <row r="36" spans="2:13" s="4" customFormat="1" ht="18" customHeight="1" x14ac:dyDescent="0.2">
      <c r="B36" s="544" t="s">
        <v>278</v>
      </c>
      <c r="C36" s="542" t="s">
        <v>501</v>
      </c>
      <c r="D36" s="531">
        <v>92.28</v>
      </c>
      <c r="E36" s="882"/>
      <c r="F36" s="881"/>
      <c r="M36" s="494"/>
    </row>
    <row r="37" spans="2:13" s="4" customFormat="1" ht="18" customHeight="1" x14ac:dyDescent="0.2">
      <c r="B37" s="544" t="s">
        <v>272</v>
      </c>
      <c r="C37" s="542" t="s">
        <v>502</v>
      </c>
      <c r="D37" s="531">
        <v>98.04</v>
      </c>
      <c r="E37" s="882"/>
      <c r="F37" s="881"/>
      <c r="M37" s="494"/>
    </row>
    <row r="38" spans="2:13" s="4" customFormat="1" ht="18" customHeight="1" thickBot="1" x14ac:dyDescent="0.25">
      <c r="B38" s="545" t="s">
        <v>198</v>
      </c>
      <c r="C38" s="543" t="s">
        <v>503</v>
      </c>
      <c r="D38" s="532">
        <v>157.44</v>
      </c>
      <c r="E38" s="882"/>
      <c r="F38" s="881"/>
      <c r="I38"/>
      <c r="J38"/>
      <c r="K38"/>
      <c r="M38" s="494"/>
    </row>
  </sheetData>
  <sheetProtection sheet="1" objects="1" scenarios="1" selectLockedCells="1" selectUnlockedCells="1"/>
  <mergeCells count="28">
    <mergeCell ref="M4:M5"/>
    <mergeCell ref="D4:F4"/>
    <mergeCell ref="G4:H4"/>
    <mergeCell ref="I25:J25"/>
    <mergeCell ref="B4:C5"/>
    <mergeCell ref="B17:B18"/>
    <mergeCell ref="B25:B26"/>
    <mergeCell ref="D33:D34"/>
    <mergeCell ref="E33:F38"/>
    <mergeCell ref="C32:D32"/>
    <mergeCell ref="J17:L22"/>
    <mergeCell ref="I26:J26"/>
    <mergeCell ref="B1:D1"/>
    <mergeCell ref="B33:B34"/>
    <mergeCell ref="C17:C18"/>
    <mergeCell ref="D17:F17"/>
    <mergeCell ref="G17:I17"/>
    <mergeCell ref="C16:I16"/>
    <mergeCell ref="C25:C26"/>
    <mergeCell ref="D25:E25"/>
    <mergeCell ref="F25:G30"/>
    <mergeCell ref="C24:E24"/>
    <mergeCell ref="I24:K24"/>
    <mergeCell ref="I4:J4"/>
    <mergeCell ref="K4:L4"/>
    <mergeCell ref="C3:L3"/>
    <mergeCell ref="K11:L11"/>
    <mergeCell ref="C33:C34"/>
  </mergeCells>
  <pageMargins left="0.7" right="0.7" top="0.75" bottom="0.75" header="0.3" footer="0.3"/>
  <pageSetup scale="66" orientation="portrait" r:id="rId1"/>
  <headerFooter>
    <oddFooter>&amp;L&amp;F  &amp;A&amp;R&amp;P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85</vt:i4>
      </vt:variant>
    </vt:vector>
  </HeadingPairs>
  <TitlesOfParts>
    <vt:vector size="94" baseType="lpstr">
      <vt:lpstr>What's New</vt:lpstr>
      <vt:lpstr>Directions</vt:lpstr>
      <vt:lpstr>Church</vt:lpstr>
      <vt:lpstr>Terms of Call</vt:lpstr>
      <vt:lpstr>Report1</vt:lpstr>
      <vt:lpstr>Report2</vt:lpstr>
      <vt:lpstr>TOC Calculator</vt:lpstr>
      <vt:lpstr>Compensation Guidelines</vt:lpstr>
      <vt:lpstr>BOP Rates</vt:lpstr>
      <vt:lpstr>AD_LIST</vt:lpstr>
      <vt:lpstr>ALLOWANCES</vt:lpstr>
      <vt:lpstr>APRV_REQ</vt:lpstr>
      <vt:lpstr>ATT_BREAKS</vt:lpstr>
      <vt:lpstr>BEN_GROUP</vt:lpstr>
      <vt:lpstr>BEN_TABLE</vt:lpstr>
      <vt:lpstr>BOP_DUES</vt:lpstr>
      <vt:lpstr>BOP_EFF_SAL</vt:lpstr>
      <vt:lpstr>BOP_MIN_DUES</vt:lpstr>
      <vt:lpstr>BOP_PGM</vt:lpstr>
      <vt:lpstr>BOP_PKG</vt:lpstr>
      <vt:lpstr>CE_ALLOW_MIN</vt:lpstr>
      <vt:lpstr>CE_MIN</vt:lpstr>
      <vt:lpstr>CHURCHES</vt:lpstr>
      <vt:lpstr>CLIST</vt:lpstr>
      <vt:lpstr>CLP_FACTOR</vt:lpstr>
      <vt:lpstr>COMP</vt:lpstr>
      <vt:lpstr>COMP_LINE</vt:lpstr>
      <vt:lpstr>CplusH</vt:lpstr>
      <vt:lpstr>DD_TABLE</vt:lpstr>
      <vt:lpstr>DENT_RATES</vt:lpstr>
      <vt:lpstr>DRAFT</vt:lpstr>
      <vt:lpstr>DRAFT2</vt:lpstr>
      <vt:lpstr>E_STATUS</vt:lpstr>
      <vt:lpstr>E_Type</vt:lpstr>
      <vt:lpstr>EFFECTIVE_SALARY</vt:lpstr>
      <vt:lpstr>EOY</vt:lpstr>
      <vt:lpstr>FLEX_OPTS</vt:lpstr>
      <vt:lpstr>FSA_FEE</vt:lpstr>
      <vt:lpstr>GTL_RATE</vt:lpstr>
      <vt:lpstr>HR_PER_WK</vt:lpstr>
      <vt:lpstr>I_STATUS</vt:lpstr>
      <vt:lpstr>I_TYPE</vt:lpstr>
      <vt:lpstr>LEV_FACTOR</vt:lpstr>
      <vt:lpstr>LEV1_MIN</vt:lpstr>
      <vt:lpstr>LEV4_MIN</vt:lpstr>
      <vt:lpstr>LEVEL</vt:lpstr>
      <vt:lpstr>LOCAL_CHURCHES</vt:lpstr>
      <vt:lpstr>MANSE</vt:lpstr>
      <vt:lpstr>MAX_FACTOR</vt:lpstr>
      <vt:lpstr>MED_RATES</vt:lpstr>
      <vt:lpstr>MIDR_FACTOR</vt:lpstr>
      <vt:lpstr>MIN_SALARY</vt:lpstr>
      <vt:lpstr>NCHURCHES</vt:lpstr>
      <vt:lpstr>P_CLASS</vt:lpstr>
      <vt:lpstr>P_STATUS</vt:lpstr>
      <vt:lpstr>P_TYPE</vt:lpstr>
      <vt:lpstr>PASTOR</vt:lpstr>
      <vt:lpstr>PCT_FULL_TIME</vt:lpstr>
      <vt:lpstr>PCT_YEAR</vt:lpstr>
      <vt:lpstr>PE_MIN</vt:lpstr>
      <vt:lpstr>PP_RATES</vt:lpstr>
      <vt:lpstr>PP_TOT_RATE</vt:lpstr>
      <vt:lpstr>PRES_ACRON</vt:lpstr>
      <vt:lpstr>PRESBYTERY</vt:lpstr>
      <vt:lpstr>Church!Print_Area</vt:lpstr>
      <vt:lpstr>'Compensation Guidelines'!Print_Area</vt:lpstr>
      <vt:lpstr>'Terms of Call'!Print_Area</vt:lpstr>
      <vt:lpstr>Church!Print_Titles</vt:lpstr>
      <vt:lpstr>Report2!Print_Titles</vt:lpstr>
      <vt:lpstr>'Terms of Call'!Print_Titles</vt:lpstr>
      <vt:lpstr>PTYPE_TABLE</vt:lpstr>
      <vt:lpstr>RSP_5</vt:lpstr>
      <vt:lpstr>RSP_MATCH</vt:lpstr>
      <vt:lpstr>RSPFEE</vt:lpstr>
      <vt:lpstr>SECA_B_HI</vt:lpstr>
      <vt:lpstr>SECA_B_LO</vt:lpstr>
      <vt:lpstr>SECA_BASE</vt:lpstr>
      <vt:lpstr>SECA_CONTR_RATE</vt:lpstr>
      <vt:lpstr>SECA_ENTRY</vt:lpstr>
      <vt:lpstr>SECA_RATE_HI</vt:lpstr>
      <vt:lpstr>SECA_RATE_LOW</vt:lpstr>
      <vt:lpstr>SECA_TAX_HI</vt:lpstr>
      <vt:lpstr>SECA_TAX_LO</vt:lpstr>
      <vt:lpstr>SECA_ZERO_HI</vt:lpstr>
      <vt:lpstr>SECA_ZERO_LOW</vt:lpstr>
      <vt:lpstr>SHORTNAME</vt:lpstr>
      <vt:lpstr>SOPY</vt:lpstr>
      <vt:lpstr>SOY</vt:lpstr>
      <vt:lpstr>TITLE</vt:lpstr>
      <vt:lpstr>TVL_MIN</vt:lpstr>
      <vt:lpstr>VAC_MIN</vt:lpstr>
      <vt:lpstr>VERSION</vt:lpstr>
      <vt:lpstr>VIS_RATES</vt:lpstr>
      <vt:lpstr>YEAR</vt:lpstr>
    </vt:vector>
  </TitlesOfParts>
  <Company>Presbytery of North Central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NCIP TOC Workbook</dc:title>
  <dc:creator>Wayne C. Dowling (for COM)</dc:creator>
  <cp:lastModifiedBy>Jeannie Stolee</cp:lastModifiedBy>
  <cp:lastPrinted>2021-11-30T02:49:19Z</cp:lastPrinted>
  <dcterms:created xsi:type="dcterms:W3CDTF">2005-10-17T17:28:53Z</dcterms:created>
  <dcterms:modified xsi:type="dcterms:W3CDTF">2022-11-30T15:31:57Z</dcterms:modified>
</cp:coreProperties>
</file>